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E:\EEFF Junio 2020\Trimestrales Junio\"/>
    </mc:Choice>
  </mc:AlternateContent>
  <xr:revisionPtr revIDLastSave="0" documentId="13_ncr:1_{827E93AF-92AA-4291-9EF4-11CFAB45AE55}" xr6:coauthVersionLast="45" xr6:coauthVersionMax="45" xr10:uidLastSave="{00000000-0000-0000-0000-000000000000}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-120" yWindow="-120" windowWidth="20730" windowHeight="11310" activeTab="3" xr2:uid="{00000000-000D-0000-FFFF-FFFF00000000}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1" i="9" l="1"/>
  <c r="G30" i="9"/>
  <c r="G29" i="9"/>
  <c r="G28" i="9"/>
  <c r="E28" i="9"/>
  <c r="D28" i="9"/>
  <c r="C28" i="9"/>
  <c r="B28" i="9"/>
  <c r="G27" i="9"/>
  <c r="G26" i="9"/>
  <c r="G25" i="9"/>
  <c r="G24" i="9"/>
  <c r="F24" i="9"/>
  <c r="E24" i="9"/>
  <c r="D24" i="9"/>
  <c r="C24" i="9"/>
  <c r="B24" i="9"/>
  <c r="G23" i="9"/>
  <c r="G22" i="9"/>
  <c r="G19" i="9"/>
  <c r="G18" i="9"/>
  <c r="G17" i="9"/>
  <c r="G16" i="9"/>
  <c r="F16" i="9"/>
  <c r="E16" i="9"/>
  <c r="D16" i="9"/>
  <c r="C16" i="9"/>
  <c r="B16" i="9"/>
  <c r="G15" i="9"/>
  <c r="G14" i="9"/>
  <c r="G13" i="9"/>
  <c r="G12" i="9" s="1"/>
  <c r="F12" i="9"/>
  <c r="E12" i="9"/>
  <c r="D12" i="9"/>
  <c r="C12" i="9"/>
  <c r="B12" i="9"/>
  <c r="G11" i="9"/>
  <c r="G10" i="9"/>
  <c r="G61" i="5" l="1"/>
  <c r="G60" i="5"/>
  <c r="G59" i="5"/>
  <c r="F59" i="5"/>
  <c r="E59" i="5"/>
  <c r="D59" i="5"/>
  <c r="C59" i="5"/>
  <c r="B59" i="5"/>
  <c r="G58" i="5"/>
  <c r="G57" i="5"/>
  <c r="G56" i="5"/>
  <c r="G55" i="5"/>
  <c r="G54" i="5" s="1"/>
  <c r="F54" i="5"/>
  <c r="E54" i="5"/>
  <c r="D54" i="5"/>
  <c r="C54" i="5"/>
  <c r="B54" i="5"/>
  <c r="G53" i="5"/>
  <c r="G52" i="5"/>
  <c r="G51" i="5"/>
  <c r="G49" i="5"/>
  <c r="G48" i="5"/>
  <c r="G47" i="5"/>
  <c r="G45" i="5" s="1"/>
  <c r="G46" i="5"/>
  <c r="F45" i="5"/>
  <c r="E45" i="5"/>
  <c r="D45" i="5"/>
  <c r="C45" i="5"/>
  <c r="B45" i="5"/>
  <c r="G39" i="5"/>
  <c r="G38" i="5"/>
  <c r="G37" i="5" s="1"/>
  <c r="F37" i="5"/>
  <c r="E37" i="5"/>
  <c r="D37" i="5"/>
  <c r="C37" i="5"/>
  <c r="B37" i="5"/>
  <c r="G35" i="5"/>
  <c r="F35" i="5"/>
  <c r="E35" i="5"/>
  <c r="D35" i="5"/>
  <c r="C35" i="5"/>
  <c r="B35" i="5"/>
  <c r="G34" i="5"/>
  <c r="G33" i="5"/>
  <c r="G32" i="5"/>
  <c r="G31" i="5"/>
  <c r="G30" i="5"/>
  <c r="G29" i="5"/>
  <c r="G28" i="5" s="1"/>
  <c r="F28" i="5"/>
  <c r="E28" i="5"/>
  <c r="D28" i="5"/>
  <c r="C28" i="5"/>
  <c r="B28" i="5"/>
  <c r="G27" i="5"/>
  <c r="G26" i="5"/>
  <c r="G25" i="5"/>
  <c r="G24" i="5"/>
  <c r="G23" i="5"/>
  <c r="G22" i="5"/>
  <c r="G21" i="5"/>
  <c r="G20" i="5"/>
  <c r="G19" i="5"/>
  <c r="G18" i="5"/>
  <c r="G17" i="5"/>
  <c r="G16" i="5" s="1"/>
  <c r="F16" i="5"/>
  <c r="E16" i="5"/>
  <c r="D16" i="5"/>
  <c r="C16" i="5"/>
  <c r="B16" i="5"/>
  <c r="G14" i="5"/>
  <c r="G13" i="5"/>
  <c r="G12" i="5"/>
  <c r="G11" i="5"/>
  <c r="G9" i="5"/>
  <c r="D11" i="4"/>
  <c r="C11" i="4"/>
  <c r="B11" i="4"/>
  <c r="G75" i="8" l="1"/>
  <c r="G74" i="8"/>
  <c r="G73" i="8"/>
  <c r="G72" i="8"/>
  <c r="G71" i="8"/>
  <c r="F71" i="8"/>
  <c r="E71" i="8"/>
  <c r="D71" i="8"/>
  <c r="C71" i="8"/>
  <c r="B71" i="8"/>
  <c r="G70" i="8"/>
  <c r="G69" i="8"/>
  <c r="G68" i="8"/>
  <c r="G67" i="8"/>
  <c r="G66" i="8"/>
  <c r="G65" i="8"/>
  <c r="G64" i="8"/>
  <c r="G63" i="8"/>
  <c r="G62" i="8"/>
  <c r="G61" i="8"/>
  <c r="F61" i="8"/>
  <c r="E61" i="8"/>
  <c r="D61" i="8"/>
  <c r="C61" i="8"/>
  <c r="B61" i="8"/>
  <c r="G60" i="8"/>
  <c r="G59" i="8"/>
  <c r="G58" i="8"/>
  <c r="G57" i="8"/>
  <c r="G56" i="8"/>
  <c r="G55" i="8"/>
  <c r="G54" i="8"/>
  <c r="G53" i="8"/>
  <c r="F53" i="8"/>
  <c r="E53" i="8"/>
  <c r="D53" i="8"/>
  <c r="C53" i="8"/>
  <c r="B53" i="8"/>
  <c r="G52" i="8"/>
  <c r="G51" i="8"/>
  <c r="G50" i="8"/>
  <c r="G49" i="8"/>
  <c r="G48" i="8"/>
  <c r="G47" i="8"/>
  <c r="G46" i="8"/>
  <c r="G45" i="8"/>
  <c r="G44" i="8"/>
  <c r="F44" i="8"/>
  <c r="E44" i="8"/>
  <c r="D44" i="8"/>
  <c r="C44" i="8"/>
  <c r="B44" i="8"/>
  <c r="G41" i="8"/>
  <c r="G40" i="8"/>
  <c r="G39" i="8"/>
  <c r="G38" i="8"/>
  <c r="G37" i="8"/>
  <c r="F37" i="8"/>
  <c r="E37" i="8"/>
  <c r="D37" i="8"/>
  <c r="C37" i="8"/>
  <c r="B37" i="8"/>
  <c r="G36" i="8"/>
  <c r="G35" i="8"/>
  <c r="G34" i="8"/>
  <c r="G33" i="8"/>
  <c r="G32" i="8"/>
  <c r="G31" i="8"/>
  <c r="G30" i="8"/>
  <c r="G29" i="8"/>
  <c r="G28" i="8"/>
  <c r="G27" i="8"/>
  <c r="F27" i="8"/>
  <c r="E27" i="8"/>
  <c r="D27" i="8"/>
  <c r="C27" i="8"/>
  <c r="B27" i="8"/>
  <c r="G26" i="8"/>
  <c r="G25" i="8"/>
  <c r="G24" i="8"/>
  <c r="G23" i="8"/>
  <c r="G22" i="8"/>
  <c r="G21" i="8"/>
  <c r="G20" i="8"/>
  <c r="G19" i="8"/>
  <c r="F19" i="8"/>
  <c r="E19" i="8"/>
  <c r="D19" i="8"/>
  <c r="C19" i="8"/>
  <c r="B19" i="8"/>
  <c r="G18" i="8"/>
  <c r="G17" i="8"/>
  <c r="G16" i="8"/>
  <c r="G15" i="8"/>
  <c r="G14" i="8"/>
  <c r="G13" i="8"/>
  <c r="G12" i="8"/>
  <c r="G11" i="8"/>
  <c r="G10" i="8"/>
  <c r="F10" i="8"/>
  <c r="E10" i="8"/>
  <c r="D10" i="8"/>
  <c r="C10" i="8"/>
  <c r="B10" i="8"/>
  <c r="G27" i="7"/>
  <c r="G26" i="7"/>
  <c r="G25" i="7"/>
  <c r="G24" i="7"/>
  <c r="G23" i="7"/>
  <c r="G22" i="7"/>
  <c r="G21" i="7"/>
  <c r="G20" i="7"/>
  <c r="G17" i="7"/>
  <c r="G16" i="7"/>
  <c r="G15" i="7"/>
  <c r="G14" i="7"/>
  <c r="G13" i="7"/>
  <c r="G12" i="7"/>
  <c r="G11" i="7"/>
  <c r="G10" i="7"/>
  <c r="G157" i="6"/>
  <c r="G156" i="6"/>
  <c r="G155" i="6"/>
  <c r="G154" i="6"/>
  <c r="G153" i="6"/>
  <c r="G152" i="6"/>
  <c r="G151" i="6"/>
  <c r="G150" i="6"/>
  <c r="F150" i="6"/>
  <c r="E150" i="6"/>
  <c r="D150" i="6"/>
  <c r="C150" i="6"/>
  <c r="B150" i="6"/>
  <c r="G149" i="6"/>
  <c r="G148" i="6"/>
  <c r="G147" i="6"/>
  <c r="G146" i="6"/>
  <c r="F146" i="6"/>
  <c r="E146" i="6"/>
  <c r="D146" i="6"/>
  <c r="C146" i="6"/>
  <c r="B146" i="6"/>
  <c r="G145" i="6"/>
  <c r="G144" i="6"/>
  <c r="G143" i="6"/>
  <c r="G142" i="6"/>
  <c r="G141" i="6"/>
  <c r="G140" i="6"/>
  <c r="G139" i="6"/>
  <c r="G138" i="6"/>
  <c r="G137" i="6"/>
  <c r="F137" i="6"/>
  <c r="E137" i="6"/>
  <c r="D137" i="6"/>
  <c r="C137" i="6"/>
  <c r="B137" i="6"/>
  <c r="G136" i="6"/>
  <c r="G135" i="6"/>
  <c r="G134" i="6"/>
  <c r="G133" i="6"/>
  <c r="F133" i="6"/>
  <c r="E133" i="6"/>
  <c r="D133" i="6"/>
  <c r="C133" i="6"/>
  <c r="B133" i="6"/>
  <c r="G132" i="6"/>
  <c r="G131" i="6"/>
  <c r="G130" i="6"/>
  <c r="G129" i="6"/>
  <c r="G128" i="6"/>
  <c r="G127" i="6"/>
  <c r="G126" i="6"/>
  <c r="G125" i="6"/>
  <c r="G124" i="6"/>
  <c r="G123" i="6"/>
  <c r="F123" i="6"/>
  <c r="E123" i="6"/>
  <c r="D123" i="6"/>
  <c r="C123" i="6"/>
  <c r="B123" i="6"/>
  <c r="G122" i="6"/>
  <c r="G121" i="6"/>
  <c r="G120" i="6"/>
  <c r="G119" i="6"/>
  <c r="G118" i="6"/>
  <c r="G117" i="6"/>
  <c r="G116" i="6"/>
  <c r="G115" i="6"/>
  <c r="G114" i="6"/>
  <c r="G113" i="6"/>
  <c r="F113" i="6"/>
  <c r="E113" i="6"/>
  <c r="D113" i="6"/>
  <c r="C113" i="6"/>
  <c r="B113" i="6"/>
  <c r="G112" i="6"/>
  <c r="G111" i="6"/>
  <c r="G110" i="6"/>
  <c r="G109" i="6"/>
  <c r="G108" i="6"/>
  <c r="G107" i="6"/>
  <c r="G106" i="6"/>
  <c r="G105" i="6"/>
  <c r="G104" i="6"/>
  <c r="G103" i="6"/>
  <c r="F103" i="6"/>
  <c r="E103" i="6"/>
  <c r="D103" i="6"/>
  <c r="C103" i="6"/>
  <c r="B103" i="6"/>
  <c r="G102" i="6"/>
  <c r="G101" i="6"/>
  <c r="G100" i="6"/>
  <c r="G99" i="6"/>
  <c r="G98" i="6"/>
  <c r="G97" i="6"/>
  <c r="G96" i="6"/>
  <c r="G95" i="6"/>
  <c r="G94" i="6"/>
  <c r="G93" i="6"/>
  <c r="F93" i="6"/>
  <c r="E93" i="6"/>
  <c r="D93" i="6"/>
  <c r="C93" i="6"/>
  <c r="B93" i="6"/>
  <c r="G92" i="6"/>
  <c r="G91" i="6"/>
  <c r="G90" i="6"/>
  <c r="G89" i="6"/>
  <c r="G88" i="6"/>
  <c r="G87" i="6"/>
  <c r="G86" i="6"/>
  <c r="G85" i="6"/>
  <c r="F85" i="6"/>
  <c r="E85" i="6"/>
  <c r="D85" i="6"/>
  <c r="C85" i="6"/>
  <c r="B85" i="6"/>
  <c r="G82" i="6"/>
  <c r="G81" i="6"/>
  <c r="G80" i="6"/>
  <c r="G79" i="6"/>
  <c r="G78" i="6"/>
  <c r="G77" i="6"/>
  <c r="G76" i="6"/>
  <c r="G75" i="6"/>
  <c r="F75" i="6"/>
  <c r="E75" i="6"/>
  <c r="D75" i="6"/>
  <c r="C75" i="6"/>
  <c r="B75" i="6"/>
  <c r="G74" i="6"/>
  <c r="G73" i="6"/>
  <c r="G72" i="6"/>
  <c r="G71" i="6"/>
  <c r="F71" i="6"/>
  <c r="E71" i="6"/>
  <c r="D71" i="6"/>
  <c r="C71" i="6"/>
  <c r="B71" i="6"/>
  <c r="G70" i="6"/>
  <c r="G69" i="6"/>
  <c r="G68" i="6"/>
  <c r="G67" i="6"/>
  <c r="G66" i="6"/>
  <c r="G65" i="6"/>
  <c r="G64" i="6"/>
  <c r="G63" i="6"/>
  <c r="G62" i="6"/>
  <c r="F62" i="6"/>
  <c r="E62" i="6"/>
  <c r="D62" i="6"/>
  <c r="C62" i="6"/>
  <c r="B62" i="6"/>
  <c r="G61" i="6"/>
  <c r="G60" i="6"/>
  <c r="G59" i="6"/>
  <c r="G58" i="6"/>
  <c r="F58" i="6"/>
  <c r="E58" i="6"/>
  <c r="D58" i="6"/>
  <c r="C58" i="6"/>
  <c r="B58" i="6"/>
  <c r="G57" i="6"/>
  <c r="G56" i="6"/>
  <c r="G55" i="6"/>
  <c r="G54" i="6"/>
  <c r="G53" i="6"/>
  <c r="G52" i="6"/>
  <c r="G51" i="6"/>
  <c r="G50" i="6"/>
  <c r="G49" i="6"/>
  <c r="G48" i="6"/>
  <c r="F48" i="6"/>
  <c r="E48" i="6"/>
  <c r="D48" i="6"/>
  <c r="C48" i="6"/>
  <c r="B48" i="6"/>
  <c r="G47" i="6"/>
  <c r="G46" i="6"/>
  <c r="G45" i="6"/>
  <c r="G44" i="6"/>
  <c r="G43" i="6"/>
  <c r="G42" i="6"/>
  <c r="G41" i="6"/>
  <c r="G40" i="6"/>
  <c r="G39" i="6"/>
  <c r="G38" i="6"/>
  <c r="F38" i="6"/>
  <c r="E38" i="6"/>
  <c r="D38" i="6"/>
  <c r="C38" i="6"/>
  <c r="B38" i="6"/>
  <c r="G37" i="6"/>
  <c r="G36" i="6"/>
  <c r="G35" i="6"/>
  <c r="G34" i="6"/>
  <c r="G33" i="6"/>
  <c r="G32" i="6"/>
  <c r="G31" i="6"/>
  <c r="G30" i="6"/>
  <c r="G29" i="6"/>
  <c r="G28" i="6"/>
  <c r="F28" i="6"/>
  <c r="E28" i="6"/>
  <c r="D28" i="6"/>
  <c r="C28" i="6"/>
  <c r="B28" i="6"/>
  <c r="G27" i="6"/>
  <c r="G26" i="6"/>
  <c r="G25" i="6"/>
  <c r="G24" i="6"/>
  <c r="G23" i="6"/>
  <c r="G22" i="6"/>
  <c r="G21" i="6"/>
  <c r="G20" i="6"/>
  <c r="G19" i="6"/>
  <c r="G17" i="6"/>
  <c r="G16" i="6"/>
  <c r="G15" i="6"/>
  <c r="G14" i="6"/>
  <c r="G13" i="6"/>
  <c r="G12" i="6"/>
  <c r="G11" i="6"/>
  <c r="D70" i="4"/>
  <c r="C70" i="4"/>
  <c r="D68" i="4"/>
  <c r="C68" i="4"/>
  <c r="B68" i="4"/>
  <c r="D53" i="4"/>
  <c r="C53" i="4"/>
  <c r="B53" i="4"/>
  <c r="G18" i="6"/>
  <c r="F18" i="6"/>
  <c r="E18" i="6"/>
  <c r="D18" i="6"/>
  <c r="C18" i="6"/>
  <c r="B18" i="6"/>
  <c r="G10" i="6"/>
  <c r="F10" i="6"/>
  <c r="E10" i="6"/>
  <c r="D10" i="6"/>
  <c r="C10" i="6"/>
  <c r="B10" i="6"/>
  <c r="G68" i="5"/>
  <c r="D48" i="4"/>
  <c r="C48" i="4"/>
  <c r="Q26" i="18" s="1"/>
  <c r="B48" i="4"/>
  <c r="H22" i="2"/>
  <c r="G22" i="2"/>
  <c r="F22" i="2"/>
  <c r="E22" i="2"/>
  <c r="D22" i="2"/>
  <c r="C22" i="2"/>
  <c r="B22" i="2"/>
  <c r="H13" i="2"/>
  <c r="G13" i="2"/>
  <c r="F13" i="2"/>
  <c r="E13" i="2"/>
  <c r="D13" i="2"/>
  <c r="C13" i="2"/>
  <c r="B13" i="2"/>
  <c r="H9" i="2"/>
  <c r="G9" i="2"/>
  <c r="F9" i="2"/>
  <c r="E9" i="2"/>
  <c r="D9" i="2"/>
  <c r="C9" i="2"/>
  <c r="B9" i="2"/>
  <c r="H8" i="2"/>
  <c r="G8" i="2"/>
  <c r="F8" i="2"/>
  <c r="E8" i="2"/>
  <c r="D8" i="2"/>
  <c r="C8" i="2"/>
  <c r="B8" i="2"/>
  <c r="E23" i="1"/>
  <c r="F23" i="1"/>
  <c r="C9" i="1"/>
  <c r="C17" i="1"/>
  <c r="C25" i="1"/>
  <c r="C31" i="1"/>
  <c r="C38" i="1"/>
  <c r="C41" i="1"/>
  <c r="C47" i="1"/>
  <c r="B8" i="10"/>
  <c r="C6" i="23"/>
  <c r="B9" i="1"/>
  <c r="H25" i="23"/>
  <c r="G25" i="23"/>
  <c r="F25" i="23"/>
  <c r="E25" i="23"/>
  <c r="D25" i="23"/>
  <c r="C7" i="23"/>
  <c r="A2" i="9"/>
  <c r="A2" i="6"/>
  <c r="B9" i="6"/>
  <c r="B7" i="13"/>
  <c r="G41" i="5"/>
  <c r="G42" i="5" s="1"/>
  <c r="U35" i="20" s="1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C29" i="13"/>
  <c r="Q22" i="31"/>
  <c r="D7" i="13"/>
  <c r="D29" i="13"/>
  <c r="R22" i="31"/>
  <c r="E7" i="13"/>
  <c r="E29" i="13"/>
  <c r="S22" i="31"/>
  <c r="F7" i="13"/>
  <c r="F29" i="13"/>
  <c r="T22" i="31"/>
  <c r="G7" i="13"/>
  <c r="G29" i="13"/>
  <c r="U22" i="31"/>
  <c r="U2" i="31"/>
  <c r="Q2" i="31"/>
  <c r="R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/>
  <c r="C7" i="12"/>
  <c r="C31" i="12"/>
  <c r="Q23" i="30"/>
  <c r="D7" i="12"/>
  <c r="D31" i="12"/>
  <c r="R23" i="30"/>
  <c r="E7" i="12"/>
  <c r="E31" i="12"/>
  <c r="S23" i="30"/>
  <c r="F7" i="12"/>
  <c r="F31" i="12"/>
  <c r="T23" i="30"/>
  <c r="G7" i="12"/>
  <c r="G31" i="12"/>
  <c r="U23" i="30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Q2" i="30"/>
  <c r="R2" i="30"/>
  <c r="S2" i="30"/>
  <c r="T2" i="30"/>
  <c r="U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/>
  <c r="P22" i="29"/>
  <c r="C8" i="11"/>
  <c r="C30" i="11"/>
  <c r="Q22" i="29"/>
  <c r="D8" i="11"/>
  <c r="D30" i="11"/>
  <c r="R22" i="29"/>
  <c r="E8" i="11"/>
  <c r="E30" i="11"/>
  <c r="S22" i="29"/>
  <c r="F8" i="11"/>
  <c r="F30" i="11"/>
  <c r="T22" i="29"/>
  <c r="G8" i="11"/>
  <c r="G30" i="11"/>
  <c r="U22" i="29"/>
  <c r="Q2" i="29"/>
  <c r="R2" i="29"/>
  <c r="S2" i="29"/>
  <c r="T2" i="29"/>
  <c r="U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C32" i="10"/>
  <c r="Q23" i="28"/>
  <c r="D32" i="10"/>
  <c r="R23" i="28"/>
  <c r="E32" i="10"/>
  <c r="S23" i="28"/>
  <c r="F32" i="10"/>
  <c r="T23" i="28"/>
  <c r="G32" i="10"/>
  <c r="U23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/>
  <c r="P22" i="28"/>
  <c r="B32" i="10"/>
  <c r="P23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9" i="9"/>
  <c r="Q2" i="27" s="1"/>
  <c r="D9" i="9"/>
  <c r="R2" i="27" s="1"/>
  <c r="E9" i="9"/>
  <c r="S2" i="27" s="1"/>
  <c r="F9" i="9"/>
  <c r="T2" i="27" s="1"/>
  <c r="G9" i="9"/>
  <c r="U2" i="27" s="1"/>
  <c r="Q3" i="27"/>
  <c r="R3" i="27"/>
  <c r="S3" i="27"/>
  <c r="T3" i="27"/>
  <c r="U3" i="27"/>
  <c r="Q4" i="27"/>
  <c r="R4" i="27"/>
  <c r="S4" i="27"/>
  <c r="T4" i="27"/>
  <c r="U4" i="27"/>
  <c r="Q5" i="27"/>
  <c r="R5" i="27"/>
  <c r="S5" i="27"/>
  <c r="T5" i="27"/>
  <c r="U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9" i="27"/>
  <c r="R9" i="27"/>
  <c r="S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1" i="9"/>
  <c r="Q13" i="27"/>
  <c r="D21" i="9"/>
  <c r="R13" i="27" s="1"/>
  <c r="E21" i="9"/>
  <c r="S13" i="27"/>
  <c r="F21" i="9"/>
  <c r="T13" i="27" s="1"/>
  <c r="G21" i="9"/>
  <c r="U13" i="27"/>
  <c r="Q14" i="27"/>
  <c r="R14" i="27"/>
  <c r="S14" i="27"/>
  <c r="T14" i="27"/>
  <c r="U14" i="27"/>
  <c r="Q15" i="27"/>
  <c r="R15" i="27"/>
  <c r="S15" i="27"/>
  <c r="T15" i="27"/>
  <c r="U15" i="27"/>
  <c r="Q16" i="27"/>
  <c r="R16" i="27"/>
  <c r="S16" i="27"/>
  <c r="T16" i="27"/>
  <c r="U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Q20" i="27"/>
  <c r="R20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D33" i="9"/>
  <c r="R24" i="27" s="1"/>
  <c r="F33" i="9"/>
  <c r="T24" i="27" s="1"/>
  <c r="P3" i="27"/>
  <c r="P4" i="27"/>
  <c r="P5" i="27"/>
  <c r="P6" i="27"/>
  <c r="P7" i="27"/>
  <c r="P8" i="27"/>
  <c r="P9" i="27"/>
  <c r="P10" i="27"/>
  <c r="P11" i="27"/>
  <c r="P12" i="27"/>
  <c r="B21" i="9"/>
  <c r="P13" i="27"/>
  <c r="P14" i="27"/>
  <c r="P15" i="27"/>
  <c r="P16" i="27"/>
  <c r="P17" i="27"/>
  <c r="P18" i="27"/>
  <c r="P19" i="27"/>
  <c r="P20" i="27"/>
  <c r="P21" i="27"/>
  <c r="P22" i="27"/>
  <c r="P23" i="27"/>
  <c r="B9" i="9"/>
  <c r="B33" i="9" s="1"/>
  <c r="P24" i="27" s="1"/>
  <c r="A5" i="27"/>
  <c r="A4" i="27"/>
  <c r="A3" i="27"/>
  <c r="A2" i="27"/>
  <c r="C9" i="8"/>
  <c r="Q2" i="26"/>
  <c r="D9" i="8"/>
  <c r="R2" i="26"/>
  <c r="E9" i="8"/>
  <c r="S2" i="26"/>
  <c r="F9" i="8"/>
  <c r="T2" i="26"/>
  <c r="G9" i="8"/>
  <c r="U2" i="26"/>
  <c r="Q3" i="26"/>
  <c r="R3" i="26"/>
  <c r="S3" i="26"/>
  <c r="T3" i="26"/>
  <c r="U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R12" i="26"/>
  <c r="S12" i="26"/>
  <c r="T12" i="26"/>
  <c r="U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R20" i="26"/>
  <c r="S20" i="26"/>
  <c r="T20" i="26"/>
  <c r="U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0" i="26"/>
  <c r="R30" i="26"/>
  <c r="S30" i="26"/>
  <c r="T30" i="26"/>
  <c r="U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3" i="8"/>
  <c r="Q35" i="26"/>
  <c r="D43" i="8"/>
  <c r="R35" i="26"/>
  <c r="E43" i="8"/>
  <c r="S35" i="26"/>
  <c r="F43" i="8"/>
  <c r="T35" i="26"/>
  <c r="G43" i="8"/>
  <c r="U35" i="26"/>
  <c r="Q36" i="26"/>
  <c r="R36" i="26"/>
  <c r="S36" i="26"/>
  <c r="T36" i="26"/>
  <c r="U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S45" i="26"/>
  <c r="T45" i="26"/>
  <c r="U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T53" i="26"/>
  <c r="U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R63" i="26"/>
  <c r="S63" i="26"/>
  <c r="T63" i="26"/>
  <c r="U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C77" i="8"/>
  <c r="Q68" i="26"/>
  <c r="D77" i="8"/>
  <c r="R68" i="26"/>
  <c r="E77" i="8"/>
  <c r="S68" i="26"/>
  <c r="F77" i="8"/>
  <c r="T68" i="26"/>
  <c r="G77" i="8"/>
  <c r="U68" i="26"/>
  <c r="B43" i="8"/>
  <c r="B9" i="8"/>
  <c r="B77" i="8"/>
  <c r="P68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5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2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G19" i="7"/>
  <c r="G29" i="7"/>
  <c r="U4" i="25"/>
  <c r="F9" i="7"/>
  <c r="F19" i="7"/>
  <c r="F29" i="7"/>
  <c r="T4" i="25"/>
  <c r="E9" i="7"/>
  <c r="E19" i="7"/>
  <c r="E29" i="7"/>
  <c r="S4" i="25"/>
  <c r="S3" i="25"/>
  <c r="D9" i="7"/>
  <c r="D19" i="7"/>
  <c r="D29" i="7"/>
  <c r="R4" i="25" s="1"/>
  <c r="R3" i="25"/>
  <c r="C9" i="7"/>
  <c r="C19" i="7"/>
  <c r="C29" i="7"/>
  <c r="Q4" i="25" s="1"/>
  <c r="B9" i="7"/>
  <c r="B19" i="7"/>
  <c r="B29" i="7"/>
  <c r="P4" i="25" s="1"/>
  <c r="U3" i="25"/>
  <c r="T3" i="25"/>
  <c r="Q3" i="25"/>
  <c r="P3" i="25"/>
  <c r="S2" i="25"/>
  <c r="R2" i="25"/>
  <c r="A3" i="25"/>
  <c r="A4" i="25"/>
  <c r="A2" i="25"/>
  <c r="A87" i="24"/>
  <c r="C84" i="6"/>
  <c r="Q76" i="24"/>
  <c r="D84" i="6"/>
  <c r="R76" i="24"/>
  <c r="E84" i="6"/>
  <c r="S76" i="24"/>
  <c r="F84" i="6"/>
  <c r="T76" i="24"/>
  <c r="G84" i="6"/>
  <c r="U76" i="24"/>
  <c r="Q77" i="24"/>
  <c r="R77" i="24"/>
  <c r="S77" i="24"/>
  <c r="T77" i="24"/>
  <c r="U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S85" i="24"/>
  <c r="T85" i="24"/>
  <c r="U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S95" i="24"/>
  <c r="T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R105" i="24"/>
  <c r="S105" i="24"/>
  <c r="T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S115" i="24"/>
  <c r="T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S125" i="24"/>
  <c r="T125" i="24"/>
  <c r="U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U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R142" i="24"/>
  <c r="S142" i="24"/>
  <c r="T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9" i="6"/>
  <c r="C159" i="6"/>
  <c r="Q150" i="24"/>
  <c r="D9" i="6"/>
  <c r="D159" i="6"/>
  <c r="R150" i="24"/>
  <c r="E9" i="6"/>
  <c r="E159" i="6"/>
  <c r="S150" i="24"/>
  <c r="F9" i="6"/>
  <c r="F159" i="6"/>
  <c r="T150" i="24"/>
  <c r="G9" i="6"/>
  <c r="G159" i="6"/>
  <c r="U150" i="24"/>
  <c r="B84" i="6"/>
  <c r="B159" i="6"/>
  <c r="P150" i="24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P76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2" i="24"/>
  <c r="R2" i="24"/>
  <c r="S2" i="24"/>
  <c r="T2" i="24"/>
  <c r="U2" i="24"/>
  <c r="Q3" i="24"/>
  <c r="R3" i="24"/>
  <c r="S3" i="24"/>
  <c r="T3" i="24"/>
  <c r="U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U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T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U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T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2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G65" i="5"/>
  <c r="U56" i="20"/>
  <c r="G67" i="5"/>
  <c r="U57" i="20"/>
  <c r="U58" i="20"/>
  <c r="U60" i="20"/>
  <c r="U61" i="20"/>
  <c r="G75" i="5"/>
  <c r="U62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Q10" i="20"/>
  <c r="R10" i="20"/>
  <c r="S10" i="20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Q22" i="20"/>
  <c r="R22" i="20"/>
  <c r="S22" i="20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Q31" i="20"/>
  <c r="R31" i="20"/>
  <c r="S31" i="20"/>
  <c r="T31" i="20"/>
  <c r="Q32" i="20"/>
  <c r="R32" i="20"/>
  <c r="S32" i="20"/>
  <c r="T32" i="20"/>
  <c r="Q33" i="20"/>
  <c r="R33" i="20"/>
  <c r="S33" i="20"/>
  <c r="T33" i="20"/>
  <c r="C41" i="5"/>
  <c r="Q34" i="20" s="1"/>
  <c r="D41" i="5"/>
  <c r="R34" i="20" s="1"/>
  <c r="E41" i="5"/>
  <c r="S34" i="20" s="1"/>
  <c r="F41" i="5"/>
  <c r="T34" i="20" s="1"/>
  <c r="Q37" i="20"/>
  <c r="R37" i="20"/>
  <c r="S37" i="20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Q46" i="20"/>
  <c r="R46" i="20"/>
  <c r="S46" i="20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Q51" i="20"/>
  <c r="R51" i="20"/>
  <c r="S51" i="20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 s="1"/>
  <c r="D65" i="5"/>
  <c r="R56" i="20"/>
  <c r="E65" i="5"/>
  <c r="S56" i="20" s="1"/>
  <c r="F65" i="5"/>
  <c r="T56" i="20"/>
  <c r="C67" i="5"/>
  <c r="Q57" i="20"/>
  <c r="D67" i="5"/>
  <c r="R57" i="20"/>
  <c r="E67" i="5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/>
  <c r="P60" i="20"/>
  <c r="P58" i="20"/>
  <c r="B67" i="5"/>
  <c r="P57" i="20"/>
  <c r="B65" i="5"/>
  <c r="P56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37" i="20"/>
  <c r="B41" i="5"/>
  <c r="P34" i="20" s="1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8"/>
  <c r="A2" i="7"/>
  <c r="A2" i="5"/>
  <c r="A2" i="4"/>
  <c r="A2" i="3"/>
  <c r="A2" i="2"/>
  <c r="A2" i="1"/>
  <c r="F19" i="1"/>
  <c r="D20" i="23"/>
  <c r="F18" i="23"/>
  <c r="K6" i="3"/>
  <c r="E18" i="23"/>
  <c r="J6" i="3"/>
  <c r="D18" i="23"/>
  <c r="I6" i="3"/>
  <c r="F6" i="1"/>
  <c r="E6" i="1"/>
  <c r="B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/>
  <c r="I23" i="23"/>
  <c r="G6" i="11"/>
  <c r="H23" i="23"/>
  <c r="F6" i="11"/>
  <c r="G23" i="23"/>
  <c r="E6" i="11"/>
  <c r="F23" i="23"/>
  <c r="D6" i="11"/>
  <c r="E23" i="23"/>
  <c r="C6" i="11"/>
  <c r="G6" i="10"/>
  <c r="F6" i="10"/>
  <c r="E6" i="10"/>
  <c r="D6" i="10"/>
  <c r="C6" i="10"/>
  <c r="B6" i="10"/>
  <c r="G5" i="13"/>
  <c r="G5" i="12"/>
  <c r="C11" i="23"/>
  <c r="A2" i="13"/>
  <c r="A2" i="12"/>
  <c r="A2" i="11"/>
  <c r="A2" i="10"/>
  <c r="A2" i="14"/>
  <c r="A5" i="9"/>
  <c r="A5" i="8"/>
  <c r="A5" i="7"/>
  <c r="A5" i="6"/>
  <c r="A4" i="5"/>
  <c r="A4" i="4"/>
  <c r="A4" i="3"/>
  <c r="A4" i="2"/>
  <c r="A4" i="1"/>
  <c r="K15" i="3"/>
  <c r="K16" i="3"/>
  <c r="K17" i="3"/>
  <c r="K18" i="3"/>
  <c r="K14" i="3"/>
  <c r="J14" i="3"/>
  <c r="X4" i="17"/>
  <c r="I14" i="3"/>
  <c r="I8" i="3"/>
  <c r="I20" i="3"/>
  <c r="W5" i="17" s="1"/>
  <c r="H14" i="3"/>
  <c r="G14" i="3"/>
  <c r="E14" i="3"/>
  <c r="K9" i="3"/>
  <c r="K10" i="3"/>
  <c r="K11" i="3"/>
  <c r="K12" i="3"/>
  <c r="K8" i="3"/>
  <c r="K20" i="3"/>
  <c r="Y5" i="17"/>
  <c r="J8" i="3"/>
  <c r="H8" i="3"/>
  <c r="H20" i="3"/>
  <c r="V5" i="17"/>
  <c r="G8" i="3"/>
  <c r="G20" i="3"/>
  <c r="U5" i="17"/>
  <c r="E8" i="3"/>
  <c r="F41" i="2"/>
  <c r="E41" i="2"/>
  <c r="D41" i="2"/>
  <c r="R17" i="16"/>
  <c r="C41" i="2"/>
  <c r="H27" i="2"/>
  <c r="G27" i="2"/>
  <c r="U15" i="16"/>
  <c r="F27" i="2"/>
  <c r="E27" i="2"/>
  <c r="D27" i="2"/>
  <c r="C27" i="2"/>
  <c r="Q15" i="16"/>
  <c r="B41" i="2"/>
  <c r="B27" i="2"/>
  <c r="U14" i="16"/>
  <c r="E20" i="3"/>
  <c r="J20" i="3"/>
  <c r="X5" i="17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4" i="4"/>
  <c r="B63" i="4"/>
  <c r="P32" i="18" s="1"/>
  <c r="B55" i="4"/>
  <c r="B49" i="4"/>
  <c r="B37" i="4"/>
  <c r="B44" i="4"/>
  <c r="B8" i="4"/>
  <c r="B29" i="4"/>
  <c r="B17" i="4"/>
  <c r="B13" i="4"/>
  <c r="B21" i="4"/>
  <c r="B57" i="4"/>
  <c r="B59" i="4" s="1"/>
  <c r="B72" i="4"/>
  <c r="B74" i="4" s="1"/>
  <c r="P39" i="18" s="1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0" i="18"/>
  <c r="P27" i="18"/>
  <c r="P28" i="18"/>
  <c r="P29" i="18"/>
  <c r="P26" i="18"/>
  <c r="P25" i="18"/>
  <c r="P20" i="18"/>
  <c r="P21" i="18"/>
  <c r="P22" i="18"/>
  <c r="P23" i="18"/>
  <c r="P24" i="18"/>
  <c r="P19" i="18"/>
  <c r="P16" i="18"/>
  <c r="P17" i="18"/>
  <c r="P15" i="18"/>
  <c r="P7" i="18"/>
  <c r="P8" i="18"/>
  <c r="P6" i="18"/>
  <c r="P3" i="18"/>
  <c r="P4" i="18"/>
  <c r="P5" i="18"/>
  <c r="P2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F27" i="1"/>
  <c r="F31" i="1"/>
  <c r="F38" i="1"/>
  <c r="F42" i="1"/>
  <c r="F63" i="1"/>
  <c r="Q106" i="15"/>
  <c r="Q107" i="15"/>
  <c r="Q108" i="15"/>
  <c r="Q109" i="15"/>
  <c r="F68" i="1"/>
  <c r="Q110" i="15"/>
  <c r="Q111" i="15"/>
  <c r="Q112" i="15"/>
  <c r="Q113" i="15"/>
  <c r="Q114" i="15"/>
  <c r="Q115" i="15"/>
  <c r="F75" i="1"/>
  <c r="Q116" i="15"/>
  <c r="Q117" i="15"/>
  <c r="Q118" i="15"/>
  <c r="F79" i="1"/>
  <c r="Q119" i="15"/>
  <c r="E9" i="1"/>
  <c r="E19" i="1"/>
  <c r="P67" i="15"/>
  <c r="E27" i="1"/>
  <c r="E31" i="1"/>
  <c r="P80" i="15"/>
  <c r="E38" i="1"/>
  <c r="E42" i="1"/>
  <c r="P91" i="15"/>
  <c r="E57" i="1"/>
  <c r="P103" i="15"/>
  <c r="E63" i="1"/>
  <c r="E68" i="1"/>
  <c r="E75" i="1"/>
  <c r="E79" i="1"/>
  <c r="P119" i="15"/>
  <c r="P117" i="15"/>
  <c r="P118" i="15"/>
  <c r="P116" i="15"/>
  <c r="P111" i="15"/>
  <c r="P112" i="15"/>
  <c r="P113" i="15"/>
  <c r="P114" i="15"/>
  <c r="P115" i="15"/>
  <c r="P110" i="15"/>
  <c r="P107" i="15"/>
  <c r="P108" i="15"/>
  <c r="P109" i="15"/>
  <c r="P106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Q87" i="15"/>
  <c r="P88" i="15"/>
  <c r="Q88" i="15"/>
  <c r="P89" i="15"/>
  <c r="Q89" i="15"/>
  <c r="P90" i="15"/>
  <c r="Q90" i="15"/>
  <c r="Q91" i="15"/>
  <c r="P92" i="15"/>
  <c r="Q92" i="15"/>
  <c r="P93" i="15"/>
  <c r="Q93" i="15"/>
  <c r="P94" i="15"/>
  <c r="Q94" i="15"/>
  <c r="Q75" i="15"/>
  <c r="P75" i="15"/>
  <c r="Q76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57" i="15"/>
  <c r="Q33" i="15"/>
  <c r="P33" i="15"/>
  <c r="A33" i="15"/>
  <c r="A55" i="15"/>
  <c r="C60" i="1"/>
  <c r="C62" i="1"/>
  <c r="Q54" i="15"/>
  <c r="Q53" i="15"/>
  <c r="B60" i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42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B17" i="1"/>
  <c r="P12" i="15"/>
  <c r="P13" i="15"/>
  <c r="P14" i="15"/>
  <c r="P15" i="15"/>
  <c r="P16" i="15"/>
  <c r="P17" i="15"/>
  <c r="P18" i="15"/>
  <c r="P19" i="15"/>
  <c r="B25" i="1"/>
  <c r="P20" i="15"/>
  <c r="P21" i="15"/>
  <c r="P22" i="15"/>
  <c r="P23" i="15"/>
  <c r="P24" i="15"/>
  <c r="P25" i="15"/>
  <c r="B31" i="1"/>
  <c r="P26" i="15"/>
  <c r="P27" i="15"/>
  <c r="P28" i="15"/>
  <c r="P29" i="15"/>
  <c r="P30" i="15"/>
  <c r="P31" i="15"/>
  <c r="P32" i="15"/>
  <c r="B38" i="1"/>
  <c r="P34" i="15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B23" i="4"/>
  <c r="B25" i="4" s="1"/>
  <c r="G70" i="5"/>
  <c r="F70" i="5"/>
  <c r="D70" i="5"/>
  <c r="Y4" i="17"/>
  <c r="Y3" i="17"/>
  <c r="C64" i="4"/>
  <c r="D64" i="4"/>
  <c r="C63" i="4"/>
  <c r="D63" i="4"/>
  <c r="R32" i="18" s="1"/>
  <c r="C55" i="4"/>
  <c r="D55" i="4"/>
  <c r="C49" i="4"/>
  <c r="D49" i="4"/>
  <c r="C29" i="4"/>
  <c r="D29" i="4"/>
  <c r="C40" i="4"/>
  <c r="D40" i="4"/>
  <c r="C37" i="4"/>
  <c r="D37" i="4"/>
  <c r="C17" i="4"/>
  <c r="C13" i="4"/>
  <c r="D13" i="4"/>
  <c r="U4" i="17"/>
  <c r="W4" i="17"/>
  <c r="V4" i="17"/>
  <c r="W3" i="17"/>
  <c r="X3" i="17"/>
  <c r="S4" i="17"/>
  <c r="S17" i="16"/>
  <c r="Q17" i="16"/>
  <c r="T17" i="16"/>
  <c r="P17" i="16"/>
  <c r="R15" i="16"/>
  <c r="S15" i="16"/>
  <c r="T15" i="16"/>
  <c r="V15" i="16"/>
  <c r="P15" i="16"/>
  <c r="Q14" i="16"/>
  <c r="R14" i="16"/>
  <c r="V14" i="16"/>
  <c r="P14" i="16"/>
  <c r="Q8" i="16"/>
  <c r="R8" i="16"/>
  <c r="S8" i="16"/>
  <c r="T8" i="16"/>
  <c r="V8" i="16"/>
  <c r="P8" i="16"/>
  <c r="Q4" i="16"/>
  <c r="R4" i="16"/>
  <c r="S4" i="16"/>
  <c r="T4" i="16"/>
  <c r="U4" i="16"/>
  <c r="V4" i="16"/>
  <c r="P4" i="16"/>
  <c r="Q6" i="18"/>
  <c r="R22" i="18"/>
  <c r="R27" i="18"/>
  <c r="Q30" i="18"/>
  <c r="R36" i="18"/>
  <c r="Q9" i="18"/>
  <c r="Q22" i="18"/>
  <c r="Q27" i="18"/>
  <c r="R31" i="18"/>
  <c r="Q32" i="18"/>
  <c r="Q36" i="18"/>
  <c r="R19" i="18"/>
  <c r="R15" i="18"/>
  <c r="R26" i="18"/>
  <c r="Q31" i="18"/>
  <c r="D72" i="4"/>
  <c r="D74" i="4" s="1"/>
  <c r="R39" i="18" s="1"/>
  <c r="R33" i="18"/>
  <c r="R37" i="18"/>
  <c r="R6" i="18"/>
  <c r="Q19" i="18"/>
  <c r="Q15" i="18"/>
  <c r="R30" i="18"/>
  <c r="Q33" i="18"/>
  <c r="Q37" i="18"/>
  <c r="S5" i="17"/>
  <c r="S3" i="17"/>
  <c r="U8" i="16"/>
  <c r="S14" i="16"/>
  <c r="T14" i="16"/>
  <c r="D44" i="4"/>
  <c r="D57" i="4"/>
  <c r="D59" i="4" s="1"/>
  <c r="D20" i="2"/>
  <c r="R13" i="16"/>
  <c r="C44" i="4"/>
  <c r="C72" i="4"/>
  <c r="C57" i="4"/>
  <c r="C59" i="4" s="1"/>
  <c r="P12" i="18"/>
  <c r="H20" i="2"/>
  <c r="V13" i="16"/>
  <c r="F20" i="2"/>
  <c r="T13" i="16"/>
  <c r="C20" i="2"/>
  <c r="Q13" i="16"/>
  <c r="R25" i="18"/>
  <c r="R38" i="18"/>
  <c r="C74" i="4"/>
  <c r="Q38" i="18"/>
  <c r="Q25" i="18"/>
  <c r="T3" i="16"/>
  <c r="V3" i="16"/>
  <c r="E20" i="2"/>
  <c r="S13" i="16"/>
  <c r="S3" i="16"/>
  <c r="R3" i="16"/>
  <c r="B20" i="2"/>
  <c r="P13" i="16"/>
  <c r="P3" i="16"/>
  <c r="G20" i="2"/>
  <c r="U13" i="16"/>
  <c r="U3" i="16"/>
  <c r="P38" i="18"/>
  <c r="C8" i="4"/>
  <c r="Q2" i="18" s="1"/>
  <c r="Q5" i="18"/>
  <c r="Q39" i="18"/>
  <c r="D8" i="4"/>
  <c r="D21" i="4" s="1"/>
  <c r="R5" i="18"/>
  <c r="R2" i="18"/>
  <c r="C21" i="4"/>
  <c r="C23" i="4" s="1"/>
  <c r="F47" i="1"/>
  <c r="F59" i="1"/>
  <c r="Q104" i="15"/>
  <c r="F81" i="1"/>
  <c r="Q120" i="15"/>
  <c r="Q95" i="15"/>
  <c r="Q67" i="15"/>
  <c r="Q3" i="16"/>
  <c r="V3" i="17"/>
  <c r="U3" i="17"/>
  <c r="P2" i="25"/>
  <c r="T2" i="25"/>
  <c r="Q2" i="25"/>
  <c r="U2" i="25"/>
  <c r="E47" i="1"/>
  <c r="E59" i="1"/>
  <c r="P57" i="15"/>
  <c r="B47" i="1"/>
  <c r="P42" i="15"/>
  <c r="P4" i="15"/>
  <c r="P95" i="15"/>
  <c r="E81" i="1"/>
  <c r="P120" i="15"/>
  <c r="P104" i="15"/>
  <c r="B62" i="1"/>
  <c r="P54" i="15"/>
  <c r="P2" i="27" l="1"/>
  <c r="G33" i="9"/>
  <c r="U24" i="27" s="1"/>
  <c r="E33" i="9"/>
  <c r="S24" i="27" s="1"/>
  <c r="C33" i="9"/>
  <c r="Q24" i="27" s="1"/>
  <c r="E70" i="5"/>
  <c r="B70" i="5"/>
  <c r="C70" i="5"/>
  <c r="Q13" i="18"/>
  <c r="C25" i="4"/>
  <c r="P14" i="18"/>
  <c r="B33" i="4"/>
  <c r="P18" i="18" s="1"/>
  <c r="R12" i="18"/>
  <c r="D23" i="4"/>
  <c r="Q12" i="18"/>
  <c r="P13" i="18"/>
  <c r="D25" i="4" l="1"/>
  <c r="R13" i="18"/>
  <c r="Q14" i="18"/>
  <c r="C33" i="4"/>
  <c r="Q18" i="18" s="1"/>
  <c r="R14" i="18" l="1"/>
  <c r="D33" i="4"/>
  <c r="R18" i="18" s="1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<sst xmlns="http://schemas.openxmlformats.org/spreadsheetml/2006/main" count="4243" uniqueCount="3305">
  <si>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</si>
  <si>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</si>
  <si>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</si>
  <si>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</si>
  <si>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</si>
  <si>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</si>
  <si>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</si>
  <si>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</si>
  <si>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</si>
  <si>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</si>
  <si>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</si>
  <si>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</si>
  <si>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</si>
  <si>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</si>
  <si>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</si>
  <si>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</si>
  <si>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</si>
  <si>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</si>
  <si>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</si>
  <si>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</si>
  <si>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</si>
  <si>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</si>
  <si>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</si>
  <si>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</si>
  <si>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</si>
  <si>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</si>
  <si>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</si>
  <si>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</si>
  <si>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</si>
  <si>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</si>
  <si>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</si>
  <si>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</si>
  <si>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</si>
  <si>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</si>
  <si>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</si>
  <si>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</si>
  <si>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</si>
  <si>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</si>
  <si>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</si>
  <si>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</si>
  <si>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</si>
  <si>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</si>
  <si>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</si>
  <si>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</si>
  <si>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</si>
  <si>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</si>
  <si>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</si>
  <si>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</si>
  <si>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</si>
  <si>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</si>
  <si>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</si>
  <si>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</si>
  <si>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</si>
  <si>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</si>
  <si>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</si>
  <si>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</si>
  <si>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</si>
  <si>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</si>
  <si>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</si>
  <si>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</si>
  <si>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</si>
  <si>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</si>
  <si>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</si>
  <si>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</si>
  <si>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</si>
  <si>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</si>
  <si>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</si>
  <si>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</si>
  <si>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</si>
  <si>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</si>
  <si>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</si>
  <si>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</si>
  <si>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</si>
  <si>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</si>
  <si>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</si>
  <si>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</si>
  <si>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</si>
  <si>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</si>
  <si>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</si>
  <si>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</si>
  <si>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</si>
  <si>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</si>
  <si>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</si>
  <si>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</si>
  <si>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</si>
  <si>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</si>
  <si>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</si>
  <si>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</si>
  <si>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</si>
  <si>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</si>
  <si>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</si>
  <si>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</si>
  <si>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</si>
  <si>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</si>
  <si>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</si>
  <si>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</si>
  <si>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</si>
  <si>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</si>
  <si>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</si>
  <si>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</si>
  <si>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</si>
  <si>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</si>
  <si>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</si>
  <si>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</si>
  <si>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</si>
  <si>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</si>
  <si>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</si>
  <si>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</si>
  <si>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</si>
  <si>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</si>
  <si>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</si>
  <si>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</si>
  <si>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</si>
  <si>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</si>
  <si>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</si>
  <si>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</si>
  <si>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</si>
  <si>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</si>
  <si>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</si>
  <si>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</si>
  <si>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</si>
  <si>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</si>
  <si>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</si>
  <si>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</si>
  <si>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</si>
  <si>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</si>
  <si>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</si>
  <si>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</si>
  <si>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</si>
  <si>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</si>
  <si>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</si>
  <si>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</si>
  <si>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</si>
  <si>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</si>
  <si>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</si>
  <si>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</si>
  <si>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</si>
  <si>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</si>
  <si>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</si>
  <si>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</si>
  <si>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</si>
  <si>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</si>
  <si>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</si>
  <si>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</si>
  <si>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</si>
  <si>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</si>
  <si>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</si>
  <si>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</si>
  <si>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</si>
  <si>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</si>
  <si>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</si>
  <si>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</si>
  <si>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</si>
  <si>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</si>
  <si>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</si>
  <si>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</si>
  <si>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</si>
  <si>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</si>
  <si>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</si>
  <si>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</si>
  <si>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</si>
  <si>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</si>
  <si>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</si>
  <si>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</si>
  <si>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</si>
  <si>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</si>
  <si>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</si>
  <si>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</si>
  <si>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</si>
  <si>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</si>
  <si>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</si>
  <si>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</si>
  <si>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</si>
  <si>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</si>
  <si>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</si>
  <si>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</si>
  <si>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</si>
  <si>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</si>
  <si>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</si>
  <si>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</si>
  <si>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</si>
  <si>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</si>
  <si>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</si>
  <si>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</si>
  <si>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</si>
  <si>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</si>
  <si>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</si>
  <si>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</si>
  <si>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</si>
  <si>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</si>
  <si>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</si>
  <si>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</si>
  <si>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</si>
  <si>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</si>
  <si>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</si>
  <si>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</si>
  <si>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</si>
  <si>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</si>
  <si>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</si>
  <si>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</si>
  <si>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</si>
  <si>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</si>
  <si>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</si>
  <si>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</si>
  <si>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</si>
  <si>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</si>
  <si>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</si>
  <si>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</si>
  <si>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</si>
  <si>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</si>
  <si>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</si>
  <si>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</si>
  <si>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</si>
  <si>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</si>
  <si>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</si>
  <si>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</si>
  <si>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</si>
  <si>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</si>
  <si>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</si>
  <si>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</si>
  <si>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</si>
  <si>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</si>
  <si>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</si>
  <si>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</si>
  <si>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</si>
  <si>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</si>
  <si>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</si>
  <si>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</si>
  <si>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</si>
  <si>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</si>
  <si>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</si>
  <si>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</si>
  <si>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</si>
  <si>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</si>
  <si>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</si>
  <si>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</si>
  <si>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</si>
  <si>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</si>
  <si>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</si>
  <si>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</si>
  <si>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</si>
  <si>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</si>
  <si>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</si>
  <si>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</si>
  <si>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</si>
  <si>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</si>
  <si>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</si>
  <si>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</si>
  <si>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</si>
  <si>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</si>
  <si>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</si>
  <si>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</si>
  <si>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</si>
  <si>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</si>
  <si>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</si>
  <si>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</si>
  <si>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</si>
  <si>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</si>
  <si>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</si>
  <si>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</si>
  <si>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</si>
  <si>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</si>
  <si>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</si>
  <si>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</si>
  <si>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</si>
  <si>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</si>
  <si>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</si>
  <si>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</si>
  <si>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</si>
  <si>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</si>
  <si>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</si>
  <si>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</si>
  <si>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</si>
  <si>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</si>
  <si>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</si>
  <si>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</si>
  <si>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</si>
  <si>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</si>
  <si>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</si>
  <si>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</si>
  <si>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</si>
  <si>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</si>
  <si>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</si>
  <si>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</si>
  <si>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</si>
  <si>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</si>
  <si>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</si>
  <si>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</si>
  <si>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</si>
  <si>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</si>
  <si>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</si>
  <si>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</si>
  <si>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</si>
  <si>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</si>
  <si>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</si>
  <si>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</si>
  <si>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</si>
  <si>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</si>
  <si>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</si>
  <si>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</si>
  <si>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</si>
  <si>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</si>
  <si>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</si>
  <si>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</si>
  <si>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</si>
  <si>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</si>
  <si>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</si>
  <si>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</si>
  <si>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</si>
  <si>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</si>
  <si>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</si>
  <si>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</si>
  <si>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</si>
  <si>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</si>
  <si>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</si>
  <si>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</si>
  <si>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</si>
  <si>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</si>
  <si>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</si>
  <si>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</si>
  <si>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</si>
  <si>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</si>
  <si>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</si>
  <si>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</si>
  <si>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</si>
  <si>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</si>
  <si>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</si>
  <si>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</si>
  <si>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</si>
  <si>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</si>
  <si>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</si>
  <si>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</si>
  <si>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</si>
  <si>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</si>
  <si>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</si>
  <si>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</si>
  <si>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</si>
  <si>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</si>
  <si>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</si>
  <si>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</si>
  <si>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</si>
  <si>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</si>
  <si>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</si>
  <si>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</si>
  <si>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</si>
  <si>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</si>
  <si>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</si>
  <si>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</si>
  <si>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</si>
  <si>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</si>
  <si>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</si>
  <si>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</si>
  <si>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</si>
  <si>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</si>
  <si>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</si>
  <si>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</si>
  <si>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</si>
  <si>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</si>
  <si>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</si>
  <si>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</si>
  <si>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</si>
  <si>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</si>
  <si>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</si>
  <si>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</si>
  <si>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</si>
  <si>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</si>
  <si>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</si>
  <si>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</si>
  <si>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</si>
  <si>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</si>
  <si>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</si>
  <si>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</si>
  <si>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</si>
  <si>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</si>
  <si>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</si>
  <si>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</si>
  <si>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</si>
  <si>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</si>
  <si>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</si>
  <si>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</si>
  <si>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</si>
  <si>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</si>
  <si>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</si>
  <si>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</si>
  <si>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</si>
  <si>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</si>
  <si>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</si>
  <si>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</si>
  <si>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</si>
  <si>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</si>
  <si>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</si>
  <si>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</si>
  <si>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</si>
  <si>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</si>
  <si>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</si>
  <si>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</si>
  <si>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</si>
  <si>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</si>
  <si>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</si>
  <si>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</si>
  <si>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</si>
  <si>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</si>
  <si>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</si>
  <si>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</si>
  <si>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</si>
  <si>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</si>
  <si>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</si>
  <si>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</si>
  <si>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</si>
  <si>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</si>
  <si>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</si>
  <si>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</si>
  <si>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</si>
  <si>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</si>
  <si>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</si>
  <si>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</si>
  <si>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</si>
  <si>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</si>
  <si>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</si>
  <si>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</si>
  <si>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</si>
  <si>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</si>
  <si>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</si>
  <si>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</si>
  <si>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</si>
  <si>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</si>
  <si>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</si>
  <si>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</si>
  <si>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</si>
  <si>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</si>
  <si>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</si>
  <si>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</si>
  <si>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</si>
  <si>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</si>
  <si>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</si>
  <si>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</si>
  <si>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</si>
  <si>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</si>
  <si>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</si>
  <si>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</si>
  <si>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</si>
  <si>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</si>
  <si>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</si>
  <si>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</si>
  <si>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</si>
  <si>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</si>
  <si>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</si>
  <si>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</si>
  <si>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</si>
  <si>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</si>
  <si>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</si>
  <si>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</si>
  <si>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</si>
  <si>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</si>
  <si>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</si>
  <si>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</si>
  <si>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</si>
  <si>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</si>
  <si>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</si>
  <si>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</si>
  <si>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</si>
  <si>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</si>
  <si>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</si>
  <si>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</si>
  <si>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</si>
  <si>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</si>
  <si>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</si>
  <si>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</si>
  <si>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</si>
  <si>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</si>
  <si>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</si>
  <si>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</si>
  <si>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</si>
  <si>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</si>
  <si>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</si>
  <si>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</si>
  <si>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</si>
  <si>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</si>
  <si>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</si>
  <si>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</si>
  <si>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</si>
  <si>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</si>
  <si>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</si>
  <si>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</si>
  <si>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</si>
  <si>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</si>
  <si>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</si>
  <si>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</si>
  <si>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</si>
  <si>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</si>
  <si>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</si>
  <si>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</si>
  <si>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</si>
  <si>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</si>
  <si>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</si>
  <si>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</si>
  <si>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</si>
  <si>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</si>
  <si>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</si>
  <si>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</si>
  <si>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</si>
  <si>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</si>
  <si>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</si>
  <si>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</si>
  <si>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</si>
  <si>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</si>
  <si>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</si>
  <si>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</si>
  <si>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</si>
  <si>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</si>
  <si>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</si>
  <si>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</si>
  <si>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</si>
  <si>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</si>
  <si>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</si>
  <si>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</si>
  <si>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</si>
  <si>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</si>
  <si>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</si>
  <si>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</si>
  <si>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</si>
  <si>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</si>
  <si>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</si>
  <si>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</si>
  <si>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</si>
  <si>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</si>
  <si>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</si>
  <si>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</si>
  <si>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</si>
  <si>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</si>
  <si>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</si>
  <si>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</si>
  <si>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</si>
  <si>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</si>
  <si>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</si>
  <si>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</si>
  <si>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</si>
  <si>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</si>
  <si>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</si>
  <si>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</si>
  <si>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</si>
  <si>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</si>
  <si>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</si>
  <si>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</si>
  <si>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</si>
  <si>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</si>
  <si>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</si>
  <si>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</si>
  <si>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</si>
  <si>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</si>
  <si>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</si>
  <si>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</si>
  <si>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</si>
  <si>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</si>
  <si>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</si>
  <si>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</si>
  <si>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</si>
  <si>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</si>
  <si>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</si>
  <si>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</si>
  <si>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</si>
  <si>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</si>
  <si>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</si>
  <si>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</si>
  <si>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</si>
  <si>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</si>
  <si>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</si>
  <si>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</si>
  <si>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</si>
  <si>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</si>
  <si>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</si>
  <si>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</si>
  <si>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</si>
  <si>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</si>
  <si>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</si>
  <si>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</si>
  <si>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</si>
  <si>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</si>
  <si>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</si>
  <si>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</si>
  <si>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</si>
  <si>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</si>
  <si>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</si>
  <si>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</si>
  <si>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</si>
  <si>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</si>
  <si>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</si>
  <si>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</si>
  <si>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</si>
  <si>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</si>
  <si>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</si>
  <si>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</si>
  <si>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</si>
  <si>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</si>
  <si>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</si>
  <si>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</si>
  <si>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</si>
  <si>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</si>
  <si>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</si>
  <si>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</si>
  <si>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</si>
  <si>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</si>
  <si>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</si>
  <si>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</si>
  <si>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</si>
  <si>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</si>
  <si>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</si>
  <si>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</si>
  <si>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</si>
  <si>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</si>
  <si>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</si>
  <si>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</si>
  <si>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</si>
  <si>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</si>
  <si>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</si>
  <si>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</si>
  <si>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</si>
  <si>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</si>
  <si>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</si>
  <si>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</si>
  <si>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</si>
  <si>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</si>
  <si>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</si>
  <si>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</si>
  <si>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</si>
  <si>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</si>
  <si>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</si>
  <si>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</si>
  <si>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</si>
  <si>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</si>
  <si>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</si>
  <si>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</si>
  <si>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</si>
  <si>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</si>
  <si>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</si>
  <si>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</si>
  <si>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</si>
  <si>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</si>
  <si>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</si>
  <si>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</si>
  <si>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</si>
  <si>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</si>
  <si>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</si>
  <si>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</si>
  <si>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</si>
  <si>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</si>
  <si>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</si>
  <si>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</si>
  <si>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</si>
  <si>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</si>
  <si>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</si>
  <si>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</si>
  <si>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</si>
  <si>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</si>
  <si>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</si>
  <si>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</si>
  <si>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</si>
  <si>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</si>
  <si>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</si>
  <si>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</si>
  <si>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</si>
  <si>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</si>
  <si>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</si>
  <si>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</si>
  <si>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</si>
  <si>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</si>
  <si>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</si>
  <si>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</si>
  <si>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</si>
  <si>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</si>
  <si>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</si>
  <si>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</si>
  <si>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</si>
  <si>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</si>
  <si>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</si>
  <si>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</si>
  <si>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</si>
  <si>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</si>
  <si>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</si>
  <si>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</si>
  <si>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</si>
  <si>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</si>
  <si>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</si>
  <si>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</si>
  <si>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</si>
  <si>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</si>
  <si>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</si>
  <si>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</si>
  <si>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</si>
  <si>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</si>
  <si>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</si>
  <si>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</si>
  <si>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</si>
  <si>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</si>
  <si>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</si>
  <si>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</si>
  <si>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</si>
  <si>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</si>
  <si>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</si>
  <si>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</si>
  <si>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</si>
  <si>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</si>
  <si>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</si>
  <si>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</si>
  <si>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</si>
  <si>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</si>
  <si>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</si>
  <si>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</si>
  <si>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</si>
  <si>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</si>
  <si>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</si>
  <si>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</si>
  <si>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</si>
  <si>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</si>
  <si>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</si>
  <si>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</si>
  <si>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</si>
  <si>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</si>
  <si>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</si>
  <si>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</si>
  <si>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</si>
  <si>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</si>
  <si>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</si>
  <si>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</si>
  <si>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</si>
  <si>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</si>
  <si>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</si>
  <si>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</si>
  <si>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</si>
  <si>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</si>
  <si>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</si>
  <si>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</si>
  <si>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</si>
  <si>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</si>
  <si>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</si>
  <si>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</si>
  <si>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</si>
  <si>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</si>
  <si>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</si>
  <si>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</si>
  <si>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</si>
  <si>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</si>
  <si>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</si>
  <si>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</si>
  <si>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</si>
  <si>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</si>
  <si>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</si>
  <si>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</si>
  <si>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</si>
  <si>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</si>
  <si>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</si>
  <si>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</si>
  <si>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</si>
  <si>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</si>
  <si>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</si>
  <si>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</si>
  <si>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</si>
  <si>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</si>
  <si>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</si>
  <si>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</si>
  <si>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</si>
  <si>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</si>
  <si>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</si>
  <si>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</si>
  <si>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</si>
  <si>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</si>
  <si>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</si>
  <si>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</si>
  <si>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</si>
  <si>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</si>
  <si>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</si>
  <si>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</si>
  <si>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</si>
  <si>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</si>
  <si>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</si>
  <si>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</si>
  <si>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</si>
  <si>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</si>
  <si>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</si>
  <si>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</si>
  <si>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</si>
  <si>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</si>
  <si>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</si>
  <si>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</si>
  <si>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</si>
  <si>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</si>
  <si>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</si>
  <si>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</si>
  <si>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</si>
  <si>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</si>
  <si>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</si>
  <si>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</si>
  <si>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</si>
  <si>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</si>
  <si>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</si>
  <si>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</si>
  <si>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</si>
  <si>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</si>
  <si>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</si>
  <si>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</si>
  <si>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</si>
  <si>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</si>
  <si>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</si>
  <si>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</si>
  <si>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</si>
  <si>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</si>
  <si>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</si>
  <si>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</si>
  <si>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</si>
  <si>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</si>
  <si>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</si>
  <si>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</si>
  <si>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</si>
  <si>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</si>
  <si>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</si>
  <si>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</si>
  <si>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</si>
  <si>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</si>
  <si>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</si>
  <si>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</si>
  <si>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</si>
  <si>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</si>
  <si>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</si>
  <si>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</si>
  <si>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</si>
  <si>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</si>
  <si>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</si>
  <si>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</si>
  <si>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</si>
  <si>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</si>
  <si>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</si>
  <si>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</si>
  <si>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</si>
  <si>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</si>
  <si>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</si>
  <si>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</si>
  <si>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</si>
  <si>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</si>
  <si>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</si>
  <si>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</si>
  <si>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</si>
  <si>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</si>
  <si>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</si>
  <si>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</si>
  <si>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</si>
  <si>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</si>
  <si>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</si>
  <si>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</si>
  <si>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</si>
  <si>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</si>
  <si>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</si>
  <si>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</si>
  <si>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</si>
  <si>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</si>
  <si>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</si>
  <si>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</si>
  <si>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</si>
  <si>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</si>
  <si>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</si>
  <si>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</si>
  <si>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</si>
  <si>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</si>
  <si>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</si>
  <si>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</si>
  <si>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</si>
  <si>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</si>
  <si>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</si>
  <si>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</si>
  <si>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</si>
  <si>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</si>
  <si>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</si>
  <si>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</si>
  <si>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</si>
  <si>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</si>
  <si>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</si>
  <si>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</si>
  <si>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</si>
  <si>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</si>
  <si>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</si>
  <si>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</si>
  <si>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</si>
  <si>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</si>
  <si>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</si>
  <si>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</si>
  <si>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</si>
  <si>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</si>
  <si>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</si>
  <si>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</si>
  <si>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</si>
  <si>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</si>
  <si>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</si>
  <si>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</si>
  <si>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</si>
  <si>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</si>
  <si>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</si>
  <si>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</si>
  <si>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</si>
  <si>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</si>
  <si>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</si>
  <si>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</si>
  <si>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</si>
  <si>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</si>
  <si>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</si>
  <si>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</si>
  <si>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</si>
  <si>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</si>
  <si>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</si>
  <si>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</si>
  <si>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</si>
  <si>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</si>
  <si>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</si>
  <si>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</si>
  <si>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</si>
  <si>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</si>
  <si>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</si>
  <si>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</si>
  <si>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</si>
  <si>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</si>
  <si>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</si>
  <si>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</si>
  <si>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</si>
  <si>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</si>
  <si>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</si>
  <si>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</si>
  <si>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</si>
  <si>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</si>
  <si>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</si>
  <si>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</si>
  <si>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</si>
  <si>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</si>
  <si>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</si>
  <si>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</si>
  <si>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</si>
  <si>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</si>
  <si>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</si>
  <si>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</si>
  <si>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</si>
  <si>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</si>
  <si>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</si>
  <si>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</si>
  <si>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</si>
  <si>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</si>
  <si>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</si>
  <si>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</si>
  <si>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</si>
  <si>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</si>
  <si>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</si>
  <si>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</si>
  <si>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</si>
  <si>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</si>
  <si>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</si>
  <si>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</si>
  <si>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</si>
  <si>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</si>
  <si>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</si>
  <si>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</si>
  <si>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</si>
  <si>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</si>
  <si>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</si>
  <si>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</si>
  <si>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</si>
  <si>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</si>
  <si>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</si>
  <si>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</si>
  <si>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</si>
  <si>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</si>
  <si>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</si>
  <si>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</si>
  <si>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</si>
  <si>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</si>
  <si>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</si>
  <si>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</si>
  <si>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</si>
  <si>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</si>
  <si>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</si>
  <si>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</si>
  <si>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</si>
  <si>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</si>
  <si>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</si>
  <si>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</si>
  <si>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</si>
  <si>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</si>
  <si>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</si>
  <si>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</si>
  <si>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</si>
  <si>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</si>
  <si>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</si>
  <si>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</si>
  <si>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</si>
  <si>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</si>
  <si>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</si>
  <si>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</si>
  <si>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</si>
  <si>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</si>
  <si>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</si>
  <si>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</si>
  <si>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</si>
  <si>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</si>
  <si>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</si>
  <si>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</si>
  <si>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</si>
  <si>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</si>
  <si>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</si>
  <si>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</si>
  <si>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</si>
  <si>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</si>
  <si>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</si>
  <si>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</si>
  <si>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</si>
  <si>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</si>
  <si>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</si>
  <si>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</si>
  <si>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</si>
  <si>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</si>
  <si>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</si>
  <si>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</si>
  <si>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</si>
  <si>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</si>
  <si>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</si>
  <si>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</si>
  <si>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</si>
  <si>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</si>
  <si>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</si>
  <si>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</si>
  <si>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</si>
  <si>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</si>
  <si>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</si>
  <si>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</si>
  <si>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</si>
  <si>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</si>
  <si>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</si>
  <si>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</si>
  <si>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</si>
  <si>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</si>
  <si>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</si>
  <si>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</si>
  <si>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</si>
  <si>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</si>
  <si>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</si>
  <si>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</si>
  <si>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</si>
  <si>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</si>
  <si>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</si>
  <si>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</si>
  <si>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</si>
  <si>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</si>
  <si>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</si>
  <si>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</si>
  <si>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</si>
  <si>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</si>
  <si>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</si>
  <si>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</si>
  <si>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</si>
  <si>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</si>
  <si>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</si>
  <si>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</si>
  <si>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</si>
  <si>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</si>
  <si>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</si>
  <si>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</si>
  <si>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</si>
  <si>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</si>
  <si>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</si>
  <si>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</si>
  <si>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</si>
  <si>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</si>
  <si>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</si>
  <si>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</si>
  <si>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</si>
  <si>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</si>
  <si>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</si>
  <si>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</si>
  <si>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</si>
  <si>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</si>
  <si>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</si>
  <si>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</si>
  <si>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</si>
  <si>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</si>
  <si>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</si>
  <si>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</si>
  <si>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</si>
  <si>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</si>
  <si>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</si>
  <si>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</si>
  <si>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</si>
  <si>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</si>
  <si>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</si>
  <si>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</si>
  <si>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</si>
  <si>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</si>
  <si>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</si>
  <si>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</si>
  <si>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</si>
  <si>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</si>
  <si>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</si>
  <si>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</si>
  <si>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</si>
  <si>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</si>
  <si>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</si>
  <si>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</si>
  <si>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</si>
  <si>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</si>
  <si>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</si>
  <si>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</si>
  <si>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</si>
  <si>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</si>
  <si>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</si>
  <si>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</si>
  <si>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</si>
  <si>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</si>
  <si>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</si>
  <si>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</si>
  <si>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</si>
  <si>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</si>
  <si>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</si>
  <si>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</si>
  <si>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</si>
  <si>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</si>
  <si>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</si>
  <si>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</si>
  <si>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</si>
  <si>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</si>
  <si>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</si>
  <si>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</si>
  <si>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</si>
  <si>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</si>
  <si>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</si>
  <si>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</si>
  <si>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</si>
  <si>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</si>
  <si>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</si>
  <si>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</si>
  <si>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</si>
  <si>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</si>
  <si>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</si>
  <si>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</si>
  <si>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</si>
  <si>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</si>
  <si>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</si>
  <si>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</si>
  <si>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</si>
  <si>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</si>
  <si>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</si>
  <si>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</si>
  <si>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</si>
  <si>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</si>
  <si>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</si>
  <si>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</si>
  <si>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</si>
  <si>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</si>
  <si>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</si>
  <si>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</si>
  <si>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</si>
  <si>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</si>
  <si>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</si>
  <si>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</si>
  <si>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</si>
  <si>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</si>
  <si>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</si>
  <si>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</si>
  <si>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</si>
  <si>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</si>
  <si>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</si>
  <si>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</si>
  <si>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</si>
  <si>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</si>
  <si>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</si>
  <si>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</si>
  <si>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</si>
  <si>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</si>
  <si>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</si>
  <si>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</si>
  <si>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</si>
  <si>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</si>
  <si>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</si>
  <si>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</si>
  <si>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</si>
  <si>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</si>
  <si>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</si>
  <si>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</si>
  <si>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</si>
  <si>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</si>
  <si>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</si>
  <si>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</si>
  <si>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</si>
  <si>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</si>
  <si>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</si>
  <si>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</si>
  <si>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</si>
  <si>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</si>
  <si>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</si>
  <si>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</si>
  <si>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</si>
  <si>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</si>
  <si>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</si>
  <si>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</si>
  <si>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</si>
  <si>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</si>
  <si>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</si>
  <si>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</si>
  <si>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</si>
  <si>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</si>
  <si>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</si>
  <si>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</si>
  <si>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</si>
  <si>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</si>
  <si>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</si>
  <si>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</si>
  <si>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</si>
  <si>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</si>
  <si>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</si>
  <si>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</si>
  <si>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</si>
  <si>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</si>
  <si>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</si>
  <si>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</si>
  <si>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</si>
  <si>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</si>
  <si>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</si>
  <si>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</si>
  <si>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</si>
  <si>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</si>
  <si>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</si>
  <si>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</si>
  <si>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</si>
  <si>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</si>
  <si>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</si>
  <si>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</si>
  <si>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</si>
  <si>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</si>
  <si>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</si>
  <si>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</si>
  <si>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</si>
  <si>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</si>
  <si>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</si>
  <si>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</si>
  <si>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</si>
  <si>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</si>
  <si>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</si>
  <si>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</si>
  <si>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</si>
  <si>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</si>
  <si>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</si>
  <si>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</si>
  <si>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</si>
  <si>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</si>
  <si>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</si>
  <si>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</si>
  <si>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</si>
  <si>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</si>
  <si>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</si>
  <si>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</si>
  <si>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</si>
  <si>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</si>
  <si>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</si>
  <si>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</si>
  <si>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</si>
  <si>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</si>
  <si>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</si>
  <si>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</si>
  <si>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</si>
  <si>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</si>
  <si>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</si>
  <si>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</si>
  <si>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</si>
  <si>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</si>
  <si>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</si>
  <si>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</si>
  <si>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</si>
  <si>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</si>
  <si>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</si>
  <si>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</si>
  <si>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</si>
  <si>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</si>
  <si>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</si>
  <si>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</si>
  <si>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</si>
  <si>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</si>
  <si>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</si>
  <si>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</si>
  <si>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</si>
  <si>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</si>
  <si>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</si>
  <si>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</si>
  <si>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</si>
  <si>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</si>
  <si>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</si>
  <si>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</si>
  <si>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</si>
  <si>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</si>
  <si>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</si>
  <si>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</si>
  <si>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</si>
  <si>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</si>
  <si>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</si>
  <si>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</si>
  <si>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</si>
  <si>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</si>
  <si>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</si>
  <si>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</si>
  <si>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</si>
  <si>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</si>
  <si>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</si>
  <si>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</si>
  <si>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</si>
  <si>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</si>
  <si>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</si>
  <si>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</si>
  <si>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</si>
  <si>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</si>
  <si>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</si>
  <si>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</si>
  <si>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</si>
  <si>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</si>
  <si>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</si>
  <si>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</si>
  <si>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</si>
  <si>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</si>
  <si>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</si>
  <si>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</si>
  <si>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</si>
  <si>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</si>
  <si>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</si>
  <si>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</si>
  <si>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</si>
  <si>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</si>
  <si>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</si>
  <si>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</si>
  <si>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</si>
  <si>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</si>
  <si>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</si>
  <si>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</si>
  <si>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</si>
  <si>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</si>
  <si>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</si>
  <si>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</si>
  <si>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</si>
  <si>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</si>
  <si>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</si>
  <si>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</si>
  <si>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</si>
  <si>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</si>
  <si>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</si>
  <si>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</si>
  <si>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</si>
  <si>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</si>
  <si>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</si>
  <si>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</si>
  <si>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</si>
  <si>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</si>
  <si>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</si>
  <si>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</si>
  <si>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</si>
  <si>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</si>
  <si>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</si>
  <si>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</si>
  <si>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</si>
  <si>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</si>
  <si>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</si>
  <si>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</si>
  <si>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</si>
  <si>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</si>
  <si>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</si>
  <si>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</si>
  <si>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</si>
  <si>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</si>
  <si>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</si>
  <si>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</si>
  <si>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</si>
  <si>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</si>
  <si>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</si>
  <si>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</si>
  <si>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</si>
  <si>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</si>
  <si>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</si>
  <si>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</si>
  <si>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</si>
  <si>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</si>
  <si>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</si>
  <si>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</si>
  <si>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</si>
  <si>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</si>
  <si>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</si>
  <si>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</si>
  <si>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</si>
  <si>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</si>
  <si>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</si>
  <si>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</si>
  <si>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</si>
  <si>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</si>
  <si>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</si>
  <si>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</si>
  <si>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</si>
  <si>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</si>
  <si>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</si>
  <si>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</si>
  <si>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</si>
  <si>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</si>
  <si>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</si>
  <si>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</si>
  <si>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</si>
  <si>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</si>
  <si>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</si>
  <si>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</si>
  <si>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</si>
  <si>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</si>
  <si>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</si>
  <si>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</si>
  <si>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</si>
  <si>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</si>
  <si>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</si>
  <si>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</si>
  <si>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</si>
  <si>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</si>
  <si>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</si>
  <si>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</si>
  <si>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</si>
  <si>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</si>
  <si>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</si>
  <si>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</si>
  <si>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</si>
  <si>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</si>
  <si>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</si>
  <si>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</si>
  <si>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</si>
  <si>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</si>
  <si>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</si>
  <si>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</si>
  <si>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</si>
  <si>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</si>
  <si>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</si>
  <si>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</si>
  <si>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</si>
  <si>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</si>
  <si>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</si>
  <si>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</si>
  <si>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</si>
  <si>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</si>
  <si>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</si>
  <si>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</si>
  <si>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</si>
  <si>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</si>
  <si>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</si>
  <si>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</si>
  <si>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</si>
  <si>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</si>
  <si>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</si>
  <si>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</si>
  <si>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</si>
  <si>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</si>
  <si>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</si>
  <si>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</si>
  <si>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</si>
  <si>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</si>
  <si>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</si>
  <si>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</si>
  <si>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</si>
  <si>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</si>
  <si>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</si>
  <si>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</si>
  <si>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</si>
  <si>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</si>
  <si>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</si>
  <si>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</si>
  <si>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</si>
  <si>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</si>
  <si>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</si>
  <si>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</si>
  <si>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</si>
  <si>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</si>
  <si>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</si>
  <si>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</si>
  <si>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</si>
  <si>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</si>
  <si>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</si>
  <si>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</si>
  <si>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</si>
  <si>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</si>
  <si>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</si>
  <si>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</si>
  <si>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</si>
  <si>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</si>
  <si>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</si>
  <si>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</si>
  <si>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</si>
  <si>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</si>
  <si>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</si>
  <si>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</si>
  <si>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</si>
  <si>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</si>
  <si>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</si>
  <si>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</si>
  <si>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</si>
  <si>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</si>
  <si>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</si>
  <si>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</si>
  <si>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</si>
  <si>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</si>
  <si>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</si>
  <si>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</si>
  <si>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</si>
  <si>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</si>
  <si>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</si>
  <si>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</si>
  <si>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</si>
  <si>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</si>
  <si>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</si>
  <si>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</si>
  <si>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</si>
  <si>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</si>
  <si>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</si>
  <si>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</si>
  <si>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</si>
  <si>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</si>
  <si>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</si>
  <si>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</si>
  <si>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</si>
  <si>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</si>
  <si>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</si>
  <si>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</si>
  <si>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</si>
  <si>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</si>
  <si>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</si>
  <si>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</si>
  <si>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</si>
  <si>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</si>
  <si>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</si>
  <si>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</si>
  <si>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</si>
  <si>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</si>
  <si>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</si>
  <si>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</si>
  <si>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</si>
  <si>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</si>
  <si>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</si>
  <si>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</si>
  <si>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</si>
  <si>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</si>
  <si>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</si>
  <si>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</si>
  <si>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</si>
  <si>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</si>
  <si>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</si>
  <si>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</si>
  <si>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</si>
  <si>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</si>
  <si>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</si>
  <si>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</si>
  <si>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</si>
  <si>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</si>
  <si>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</si>
  <si>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</si>
  <si>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</si>
  <si>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</si>
  <si>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</si>
  <si>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</si>
  <si>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</si>
  <si>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</si>
  <si>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</si>
  <si>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</si>
  <si>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</si>
  <si>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</si>
  <si>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</si>
  <si>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</si>
  <si>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</si>
  <si>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</si>
  <si>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</si>
  <si>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</si>
  <si>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</si>
  <si>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</si>
  <si>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</si>
  <si>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</si>
  <si>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</si>
  <si>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</si>
  <si>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</si>
  <si>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</si>
  <si>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</si>
  <si>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</si>
  <si>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</si>
  <si>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</si>
  <si>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</si>
  <si>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</si>
  <si>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</si>
  <si>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</si>
  <si>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</si>
  <si>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</si>
  <si>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</si>
  <si>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</si>
  <si>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</si>
  <si>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</si>
  <si>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</si>
  <si>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</si>
  <si>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</si>
  <si>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</si>
  <si>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</si>
  <si>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</si>
  <si>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</si>
  <si>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</si>
  <si>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</si>
  <si>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</si>
  <si>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</si>
  <si>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</si>
  <si>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</si>
  <si>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</si>
  <si>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</si>
  <si>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</si>
  <si>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</si>
  <si>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</si>
  <si>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</si>
  <si>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</si>
  <si>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</si>
  <si>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</si>
  <si>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</si>
  <si>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</si>
  <si>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</si>
  <si>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</si>
  <si>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</si>
  <si>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</si>
  <si>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</si>
  <si>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</si>
  <si>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</si>
  <si>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</si>
  <si>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</si>
  <si>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</si>
  <si>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</si>
  <si>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</si>
  <si>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</si>
  <si>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</si>
  <si>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</si>
  <si>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</si>
  <si>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</si>
  <si>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</si>
  <si>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</si>
  <si>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</si>
  <si>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</si>
  <si>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</si>
  <si>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</si>
  <si>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</si>
  <si>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</si>
  <si>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</si>
  <si>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</si>
  <si>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</si>
  <si>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</si>
  <si>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</si>
  <si>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</si>
  <si>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</si>
  <si>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</si>
  <si>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</si>
  <si>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</si>
  <si>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</si>
  <si>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</si>
  <si>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</si>
  <si>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</si>
  <si>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</si>
  <si>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</si>
  <si>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</si>
  <si>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</si>
  <si>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</si>
  <si>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</si>
  <si>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</si>
  <si>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</si>
  <si>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</si>
  <si>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</si>
  <si>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</si>
  <si>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</si>
  <si>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</si>
  <si>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</si>
  <si>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</si>
  <si>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</si>
  <si>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</si>
  <si>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</si>
  <si>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</si>
  <si>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</si>
  <si>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</si>
  <si>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</si>
  <si>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</si>
  <si>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</si>
  <si>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</si>
  <si>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</si>
  <si>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</si>
  <si>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</si>
  <si>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</si>
  <si>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</si>
  <si>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</si>
  <si>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</si>
  <si>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</si>
  <si>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</si>
  <si>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</si>
  <si>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</si>
  <si>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</si>
  <si>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</si>
  <si>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</si>
  <si>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</si>
  <si>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</si>
  <si>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</si>
  <si>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</si>
  <si>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</si>
  <si>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</si>
  <si>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</si>
  <si>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</si>
  <si>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</si>
  <si>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</si>
  <si>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</si>
  <si>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</si>
  <si>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</si>
  <si>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</si>
  <si>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</si>
  <si>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</si>
  <si>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</si>
  <si>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</si>
  <si>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</si>
  <si>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</si>
  <si>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</si>
  <si>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</si>
  <si>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</si>
  <si>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</si>
  <si>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</si>
  <si>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</si>
  <si>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</si>
  <si>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</si>
  <si>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</si>
  <si>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</si>
  <si>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</si>
  <si>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</si>
  <si>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</si>
  <si>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</si>
  <si>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</si>
  <si>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</si>
  <si>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</si>
  <si>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</si>
  <si>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</si>
  <si>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</si>
  <si>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</si>
  <si>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</si>
  <si>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</si>
  <si>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</si>
  <si>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</si>
  <si>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</si>
  <si>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</si>
  <si>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</si>
  <si>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</si>
  <si>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</si>
  <si>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</si>
  <si>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</si>
  <si>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</si>
  <si>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</si>
  <si>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</si>
  <si>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</si>
  <si>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</si>
  <si>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</si>
  <si>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</si>
  <si>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</si>
  <si>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</si>
  <si>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</si>
  <si>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</si>
  <si>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</si>
  <si>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</si>
  <si>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</si>
  <si>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</si>
  <si>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</si>
  <si>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</si>
  <si>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</si>
  <si>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</si>
  <si>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</si>
  <si>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</si>
  <si>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</si>
  <si>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</si>
  <si>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</si>
  <si>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</si>
  <si>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</si>
  <si>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</si>
  <si>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</si>
  <si>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</si>
  <si>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</si>
  <si>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</si>
  <si>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</si>
  <si>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</si>
  <si>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</si>
  <si>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</si>
  <si>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</si>
  <si>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</si>
  <si>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</si>
  <si>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</si>
  <si>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</si>
  <si>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</si>
  <si>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</si>
  <si>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</si>
  <si>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</si>
  <si>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</si>
  <si>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</si>
  <si>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</si>
  <si>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</si>
  <si>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</si>
  <si>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</si>
  <si>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</si>
  <si>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</si>
  <si>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</si>
  <si>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</si>
  <si>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</si>
  <si>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</si>
  <si>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</si>
  <si>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</si>
  <si>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</si>
  <si>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</si>
  <si>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</si>
  <si>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</si>
  <si>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</si>
  <si>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</si>
  <si>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</si>
  <si>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</si>
  <si>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</si>
  <si>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</si>
  <si>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</si>
  <si>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</si>
  <si>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</si>
  <si>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</si>
  <si>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</si>
  <si>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</si>
  <si>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</si>
  <si>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</si>
  <si>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</si>
  <si>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</si>
  <si>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</si>
  <si>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</si>
  <si>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</si>
  <si>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</si>
  <si>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</si>
  <si>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</si>
  <si>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</si>
  <si>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</si>
  <si>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</si>
  <si>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</si>
  <si>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</si>
  <si>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</si>
  <si>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</si>
  <si>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</si>
  <si>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</si>
  <si>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</si>
  <si>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</si>
  <si>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</si>
  <si>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</si>
  <si>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</si>
  <si>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</si>
  <si>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</si>
  <si>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</si>
  <si>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</si>
  <si>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</si>
  <si>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</si>
  <si>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</si>
  <si>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</si>
  <si>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</si>
  <si>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</si>
  <si>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</si>
  <si>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</si>
  <si>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</si>
  <si>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</si>
  <si>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</si>
  <si>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</si>
  <si>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</si>
  <si>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</si>
  <si>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</si>
  <si>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</si>
  <si>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</si>
  <si>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</si>
  <si>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</si>
  <si>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</si>
  <si>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</si>
  <si>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</si>
  <si>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</si>
  <si>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</si>
  <si>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</si>
  <si>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</si>
  <si>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</si>
  <si>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</si>
  <si>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</si>
  <si>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</si>
  <si>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</si>
  <si>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</si>
  <si>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</si>
  <si>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</si>
  <si>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</si>
  <si>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</si>
  <si>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</si>
  <si>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</si>
  <si>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</si>
  <si>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</si>
  <si>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</si>
  <si>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</si>
  <si>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</si>
  <si>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</si>
  <si>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</si>
  <si>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</si>
  <si>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</si>
  <si>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</si>
  <si>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</si>
  <si>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</si>
  <si>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</si>
  <si>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</si>
  <si>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</si>
  <si>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</si>
  <si>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</si>
  <si>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</si>
  <si>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</si>
  <si>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</si>
  <si>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</si>
  <si>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</si>
  <si>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</si>
  <si>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</si>
  <si>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</si>
  <si>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</si>
  <si>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</si>
  <si>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</si>
  <si>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</si>
  <si>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</si>
  <si>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</si>
  <si>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</si>
  <si>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</si>
  <si>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</si>
  <si>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</si>
  <si>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</si>
  <si>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</si>
  <si>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</si>
  <si>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</si>
  <si>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</si>
  <si>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</si>
  <si>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</si>
  <si>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</si>
  <si>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</si>
  <si>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</si>
  <si>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</si>
  <si>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</si>
  <si>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</si>
  <si>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</si>
  <si>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</si>
  <si>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</si>
  <si>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</si>
  <si>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</si>
  <si>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</si>
  <si>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</si>
  <si>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</si>
  <si>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</si>
  <si>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</si>
  <si>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</si>
  <si>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</si>
  <si>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</si>
  <si>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</si>
  <si>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</si>
  <si>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</si>
  <si>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</si>
  <si>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</si>
  <si>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</si>
  <si>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</si>
  <si>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</si>
  <si>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</si>
  <si>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</si>
  <si>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</si>
  <si>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</si>
  <si>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</si>
  <si>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</si>
  <si>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</si>
  <si>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</si>
  <si>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</si>
  <si>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</si>
  <si>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</si>
  <si>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</si>
  <si>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</si>
  <si>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</si>
  <si>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</si>
  <si>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</si>
  <si>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</si>
  <si>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</si>
  <si>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</si>
  <si>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</si>
  <si>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</si>
  <si>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</si>
  <si>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</si>
  <si>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</si>
  <si>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</si>
  <si>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</si>
  <si>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</si>
  <si>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</si>
  <si>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</si>
  <si>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</si>
  <si>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</si>
  <si>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</si>
  <si>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</si>
  <si>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</si>
  <si>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</si>
  <si>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</si>
  <si>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</si>
  <si>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</si>
  <si>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</si>
  <si>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</si>
  <si>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</si>
  <si>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</si>
  <si>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</si>
  <si>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</si>
  <si>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</si>
  <si>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</si>
  <si>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</si>
  <si>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</si>
  <si>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</si>
  <si>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</si>
  <si>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</si>
  <si>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</si>
  <si>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</si>
  <si>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</si>
  <si>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</si>
  <si>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</si>
  <si>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</si>
  <si>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</si>
  <si>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</si>
  <si>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</si>
  <si>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</si>
  <si>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</si>
  <si>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</si>
  <si>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</si>
  <si>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</si>
  <si>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</si>
  <si>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</si>
  <si>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</si>
  <si>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</si>
  <si>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</si>
  <si>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</si>
  <si>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</si>
  <si>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</si>
  <si>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</si>
  <si>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</si>
  <si>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</si>
  <si>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</si>
  <si>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</si>
  <si>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</si>
  <si>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</si>
  <si>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</si>
  <si>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</si>
  <si>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</si>
  <si>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</si>
  <si>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</si>
  <si>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</si>
  <si>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</si>
  <si>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</si>
  <si>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</si>
  <si>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</si>
  <si>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</si>
  <si>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</si>
  <si>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</si>
  <si>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</si>
  <si>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</si>
  <si>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</si>
  <si>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</si>
  <si>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</si>
  <si>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</si>
  <si>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</si>
  <si>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</si>
  <si>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</si>
  <si>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</si>
  <si>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</si>
  <si>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</si>
  <si>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</si>
  <si>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</si>
  <si>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</si>
  <si>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</si>
  <si>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</si>
  <si>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</si>
  <si>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</si>
  <si>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</si>
  <si>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</si>
  <si>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</si>
  <si>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</si>
  <si>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</si>
  <si>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</si>
  <si>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</si>
  <si>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</si>
  <si>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</si>
  <si>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</si>
  <si>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</si>
  <si>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</si>
  <si>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</si>
  <si>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</si>
  <si>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</si>
  <si>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</si>
  <si>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</si>
  <si>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</si>
  <si>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</si>
  <si>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</si>
  <si>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</si>
  <si>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</si>
  <si>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</si>
  <si>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</si>
  <si>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</si>
  <si>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</si>
  <si>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</si>
  <si>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</si>
  <si>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</si>
  <si>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</si>
  <si>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</si>
  <si>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</si>
  <si>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</si>
  <si>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</si>
  <si>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</si>
  <si>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</si>
  <si>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</si>
  <si>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</si>
  <si>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</si>
  <si>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</si>
  <si>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</si>
  <si>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</si>
  <si>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</si>
  <si>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</si>
  <si>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</si>
  <si>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</si>
  <si>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</si>
  <si>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</si>
  <si>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</si>
  <si>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</si>
  <si>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</si>
  <si>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</si>
  <si>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</si>
  <si>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</si>
  <si>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</si>
  <si>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</si>
  <si>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</si>
  <si>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</si>
  <si>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</si>
  <si>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</si>
  <si>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</si>
  <si>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</si>
  <si>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</si>
  <si>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</si>
  <si>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</si>
  <si>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</si>
  <si>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</si>
  <si>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</si>
  <si>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</si>
  <si>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</si>
  <si>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</si>
  <si>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</si>
  <si>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</si>
  <si>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</si>
  <si>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</si>
  <si>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</si>
  <si>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</si>
  <si>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</si>
  <si>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</si>
  <si>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</si>
  <si>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</si>
  <si>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</si>
  <si>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</si>
  <si>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</si>
  <si>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</si>
  <si>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</si>
  <si>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</si>
  <si>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</si>
  <si>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</si>
  <si>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</si>
  <si>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</si>
  <si>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</si>
  <si>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</si>
  <si>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</si>
  <si>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</si>
  <si>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</si>
  <si>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</si>
  <si>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</si>
  <si>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</si>
  <si>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</si>
  <si>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</si>
  <si>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</si>
  <si>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</si>
  <si>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</si>
  <si>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</si>
  <si>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</si>
  <si>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</si>
  <si>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</si>
  <si>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</si>
  <si>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</si>
  <si>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</si>
  <si>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</si>
  <si>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</si>
  <si>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</si>
  <si>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</si>
  <si>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</si>
  <si>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</si>
  <si>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</si>
  <si>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</si>
  <si>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</si>
  <si>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</si>
  <si>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</si>
  <si>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</si>
  <si>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</si>
  <si>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</si>
  <si>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</si>
  <si>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</si>
  <si>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</si>
  <si>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</si>
  <si>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</si>
  <si>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</si>
  <si>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</si>
  <si>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</si>
  <si>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</si>
  <si>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</si>
  <si>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</si>
  <si>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</si>
  <si>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</si>
  <si>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</si>
  <si>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</si>
  <si>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</si>
  <si>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</si>
  <si>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</si>
  <si>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</si>
  <si>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</si>
  <si>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</si>
  <si>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</si>
  <si>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</si>
  <si>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</si>
  <si>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</si>
  <si>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</si>
  <si>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</si>
  <si>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</si>
  <si>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</si>
  <si>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</si>
  <si>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</si>
  <si>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</si>
  <si>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</si>
  <si>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</si>
  <si>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</si>
  <si>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</si>
  <si>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</si>
  <si>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</si>
  <si>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</si>
  <si>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</si>
  <si>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</si>
  <si>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</si>
  <si>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</si>
  <si>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</si>
  <si>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</si>
  <si>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</si>
  <si>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</si>
  <si>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</si>
  <si>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</si>
  <si>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</si>
  <si>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</si>
  <si>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</si>
  <si>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</si>
  <si>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</si>
  <si>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</si>
  <si>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</si>
  <si>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</si>
  <si>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</si>
  <si>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</si>
  <si>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</si>
  <si>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</si>
  <si>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</si>
  <si>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</si>
  <si>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</si>
  <si>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</si>
  <si>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</si>
  <si>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</si>
  <si>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</si>
  <si>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</si>
  <si>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</si>
  <si>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</si>
  <si>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</si>
  <si>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</si>
  <si>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</si>
  <si>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</si>
  <si>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</si>
  <si>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</si>
  <si>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</si>
  <si>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</si>
  <si>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</si>
  <si>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</si>
  <si>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</si>
  <si>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</si>
  <si>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</si>
  <si>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</si>
  <si>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</si>
  <si>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</si>
  <si>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</si>
  <si>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</si>
  <si>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</si>
  <si>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</si>
  <si>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</si>
  <si>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</si>
  <si>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</si>
  <si>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</si>
  <si>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</si>
  <si>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</si>
  <si>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</si>
  <si>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</si>
  <si>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</si>
  <si>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</si>
  <si>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</si>
  <si>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</si>
  <si>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</si>
  <si>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</si>
  <si>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</si>
  <si>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</si>
  <si>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</si>
  <si>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</si>
  <si>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</si>
  <si>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</si>
  <si>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</si>
  <si>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</si>
  <si>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</si>
  <si>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</si>
  <si>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</si>
  <si>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</si>
  <si>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</si>
  <si>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</si>
  <si>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</si>
  <si>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</si>
  <si>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</si>
  <si>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</si>
  <si>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</si>
  <si>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</si>
  <si>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</si>
  <si>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</si>
  <si>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</si>
  <si>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</si>
  <si>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</si>
  <si>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</si>
  <si>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</si>
  <si>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</si>
  <si>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</si>
  <si>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</si>
  <si>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</si>
  <si>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</si>
  <si>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</si>
  <si>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</si>
  <si>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</si>
  <si>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</si>
  <si>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</si>
  <si>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</si>
  <si>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</si>
  <si>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</si>
  <si>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</si>
  <si>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</si>
  <si>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</si>
  <si>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</si>
  <si>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</si>
  <si>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</si>
  <si>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</si>
  <si>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</si>
  <si>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</si>
  <si>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</si>
  <si>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</si>
  <si>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</si>
  <si>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</si>
  <si>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</si>
  <si>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</si>
  <si>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</si>
  <si>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</si>
  <si>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</si>
  <si>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</si>
  <si>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</si>
  <si>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</si>
  <si>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</si>
  <si>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</si>
  <si>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</si>
  <si>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</si>
  <si>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</si>
  <si>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</si>
  <si>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</si>
  <si>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</si>
  <si>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</si>
  <si>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</si>
  <si>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</si>
  <si>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</si>
  <si>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</si>
  <si>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</si>
  <si>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</si>
  <si>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</si>
  <si>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</si>
  <si>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</si>
  <si>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</si>
  <si>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</si>
  <si>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</si>
  <si>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</si>
  <si>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</si>
  <si>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</si>
  <si>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</si>
  <si>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</si>
  <si>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</si>
  <si>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</si>
  <si>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</si>
  <si>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</si>
  <si>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</si>
  <si>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</si>
  <si>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</si>
  <si>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</si>
  <si>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</si>
  <si>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</si>
  <si>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</si>
  <si>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</si>
  <si>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</si>
  <si>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</si>
  <si>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</si>
  <si>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</si>
  <si>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</si>
  <si>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</si>
  <si>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</si>
  <si>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</si>
  <si>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</si>
  <si>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</si>
  <si>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</si>
  <si>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</si>
  <si>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</si>
  <si>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</si>
  <si>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</si>
  <si>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</si>
  <si>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</si>
  <si>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</si>
  <si>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</si>
  <si>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</si>
  <si>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</si>
  <si>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</si>
  <si>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</si>
  <si>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</si>
  <si>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</si>
  <si>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</si>
  <si>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</si>
  <si>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</si>
  <si>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</si>
  <si>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</si>
  <si>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</si>
  <si>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</si>
  <si>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</si>
  <si>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</si>
  <si>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</si>
  <si>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</si>
  <si>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</si>
  <si>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</si>
  <si>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</si>
  <si>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</si>
  <si>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</si>
  <si>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</si>
  <si>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</si>
  <si>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</si>
  <si>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</si>
  <si>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</si>
  <si>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</si>
  <si>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</si>
  <si>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</si>
  <si>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</si>
  <si>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</si>
  <si>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</si>
  <si>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</si>
  <si>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</si>
  <si>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</si>
  <si>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</si>
  <si>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</si>
  <si>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</si>
  <si>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</si>
  <si>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</si>
  <si>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</si>
  <si>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</si>
  <si>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</si>
  <si>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</si>
  <si>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</si>
  <si>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</si>
  <si>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</si>
  <si>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</si>
  <si>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</si>
  <si>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</si>
  <si>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</si>
  <si>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</si>
  <si>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</si>
  <si>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</si>
  <si>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</si>
  <si>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</si>
  <si>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</si>
  <si>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</si>
  <si>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</si>
  <si>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</si>
  <si>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</si>
  <si>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</si>
  <si>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</si>
  <si>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</si>
  <si>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</si>
  <si>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</si>
  <si>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</si>
  <si>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</si>
  <si>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</si>
  <si>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</si>
  <si>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</si>
  <si>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</si>
  <si>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</si>
  <si>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</si>
  <si>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</si>
  <si>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</si>
  <si>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</si>
  <si>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</si>
  <si>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</si>
  <si>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</si>
  <si>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</si>
  <si>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</si>
  <si>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</si>
  <si>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</si>
  <si>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</si>
  <si>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</si>
  <si>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</si>
  <si>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</si>
  <si>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</si>
  <si>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</si>
  <si>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</si>
  <si>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</si>
  <si>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</si>
  <si>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</si>
  <si>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</si>
  <si>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</si>
  <si>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</si>
  <si>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</si>
  <si>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</si>
  <si>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</si>
  <si>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</si>
  <si>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</si>
  <si>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</si>
  <si>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</si>
  <si>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</si>
  <si>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</si>
  <si>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</si>
  <si>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</si>
  <si>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</si>
  <si>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</si>
  <si>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</si>
  <si>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</si>
  <si>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</si>
  <si>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</si>
  <si>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</si>
  <si>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</si>
  <si>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</si>
  <si>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</si>
  <si>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</si>
  <si>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</si>
  <si>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</si>
  <si>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</si>
  <si>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</si>
  <si>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</si>
  <si>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</si>
  <si>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</si>
  <si>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</si>
  <si>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</si>
  <si>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</si>
  <si>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</si>
  <si>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</si>
  <si>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</si>
  <si>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</si>
  <si>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</si>
  <si>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</si>
  <si>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</si>
  <si>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</si>
  <si>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</si>
  <si>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</si>
  <si>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</si>
  <si>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</si>
  <si>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</si>
  <si>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</si>
  <si>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</si>
  <si>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</si>
  <si>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</si>
  <si>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</si>
  <si>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</si>
  <si>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</si>
  <si>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</si>
  <si>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</si>
  <si>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</si>
  <si>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</si>
  <si>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</si>
  <si>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</si>
  <si>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</si>
  <si>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</si>
  <si>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</si>
  <si>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</si>
  <si>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</si>
  <si>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</si>
  <si>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</si>
  <si>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</si>
  <si>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</si>
  <si>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</si>
  <si>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</si>
  <si>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</si>
  <si>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</si>
  <si>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</si>
  <si>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</si>
  <si>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</si>
  <si>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</si>
  <si>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</si>
  <si>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</si>
  <si>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</si>
  <si>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</si>
  <si>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</si>
  <si>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</si>
  <si>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</si>
  <si>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</si>
  <si>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</si>
  <si>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</si>
  <si>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</si>
  <si>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</si>
  <si>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</si>
  <si>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</si>
  <si>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</si>
  <si>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</si>
  <si>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</si>
  <si>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</si>
  <si>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</si>
  <si>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</si>
  <si>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</si>
  <si>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</si>
  <si>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</si>
  <si>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</si>
  <si>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</si>
  <si>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</si>
  <si>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</si>
  <si>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</si>
  <si>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</si>
  <si>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</si>
  <si>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</si>
  <si>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</si>
  <si>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</si>
  <si>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</si>
  <si>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</si>
  <si>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</si>
  <si>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</si>
  <si>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</si>
  <si>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</si>
  <si>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</si>
  <si>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</si>
  <si>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</si>
  <si>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</si>
  <si>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</si>
  <si>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</si>
  <si>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</si>
  <si>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</si>
  <si>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</si>
  <si>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</si>
  <si>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</si>
  <si>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</si>
  <si>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</si>
  <si>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</si>
  <si>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</si>
  <si>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</si>
  <si>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</si>
  <si>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</si>
  <si>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</si>
  <si>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</si>
  <si>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</si>
  <si>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</si>
  <si>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</si>
  <si>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</si>
  <si>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</si>
  <si>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</si>
  <si>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</si>
  <si>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</si>
  <si>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</si>
  <si>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</si>
  <si>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</si>
  <si>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</si>
  <si>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</si>
  <si>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</si>
  <si>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</si>
  <si>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</si>
  <si>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</si>
  <si>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</si>
  <si>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</si>
  <si>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</si>
  <si>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</si>
  <si>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</si>
  <si>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</si>
  <si>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</si>
  <si>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</si>
  <si>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</si>
  <si>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</si>
  <si>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</si>
  <si>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</si>
  <si>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</si>
  <si>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</si>
  <si>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</si>
  <si>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</si>
  <si>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</si>
  <si>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</si>
  <si>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</si>
  <si>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</si>
  <si>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</si>
  <si>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</si>
  <si>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</si>
  <si>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</si>
  <si>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</si>
  <si>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</si>
  <si>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</si>
  <si>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</si>
  <si>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</si>
  <si>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</si>
  <si>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</si>
  <si>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</si>
  <si>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</si>
  <si>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</si>
  <si>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</si>
  <si>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</si>
  <si>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</si>
  <si>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</si>
  <si>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</si>
  <si>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</si>
  <si>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</si>
  <si>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</si>
  <si>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</si>
  <si>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</si>
  <si>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</si>
  <si>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</si>
  <si>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</si>
  <si>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</si>
  <si>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</si>
  <si>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</si>
  <si>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</si>
  <si>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</si>
  <si>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</si>
  <si>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</si>
  <si>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</si>
  <si>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</si>
  <si>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</si>
  <si>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</si>
  <si>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</si>
  <si>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</si>
  <si>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</si>
  <si>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</si>
  <si>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</si>
  <si>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</si>
  <si>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</si>
  <si>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</si>
  <si>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</si>
  <si>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</si>
  <si>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</si>
  <si>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</si>
  <si>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</si>
  <si>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</si>
  <si>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</si>
  <si>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</si>
  <si>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</si>
  <si>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</si>
  <si>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</si>
  <si>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</si>
  <si>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</si>
  <si>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</si>
  <si>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</si>
  <si>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</si>
  <si>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</si>
  <si>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</si>
  <si>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</si>
  <si>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</si>
  <si>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</si>
  <si>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</si>
  <si>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</si>
  <si>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</si>
  <si>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</si>
  <si>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</si>
  <si>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</si>
  <si>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</si>
  <si>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</si>
  <si>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</si>
  <si>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</si>
  <si>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</si>
  <si>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</si>
  <si>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</si>
  <si>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</si>
  <si>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</si>
  <si>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</si>
  <si>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</si>
  <si>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</si>
  <si>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</si>
  <si>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</si>
  <si>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</si>
  <si>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</si>
  <si>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</si>
  <si>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</si>
  <si>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</si>
  <si>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</si>
  <si>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</si>
  <si>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</si>
  <si>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</si>
  <si>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</si>
  <si>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</si>
  <si>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</si>
  <si>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</si>
  <si>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</si>
  <si>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</si>
  <si>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</si>
  <si>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</si>
  <si>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</si>
  <si>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</si>
  <si>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</si>
  <si>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</si>
  <si>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</si>
  <si>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</si>
  <si>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</si>
  <si>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</si>
  <si>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</si>
  <si>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</si>
  <si>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</si>
  <si>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</si>
  <si>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</si>
  <si>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</si>
  <si>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</si>
  <si>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</si>
  <si>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</si>
  <si>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</si>
  <si>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</si>
  <si>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</si>
  <si>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</si>
  <si>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</si>
  <si>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</si>
  <si>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</si>
  <si>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</si>
  <si>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</si>
  <si>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</si>
  <si>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</si>
  <si>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</si>
  <si>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</si>
  <si>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</si>
  <si>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</si>
  <si>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</si>
  <si>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</si>
  <si>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</si>
  <si>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</si>
  <si>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</si>
  <si>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</si>
  <si>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</si>
  <si>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</si>
  <si>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</si>
  <si>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</si>
  <si>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</si>
  <si>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</si>
  <si>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</si>
  <si>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</si>
  <si>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</si>
  <si>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</si>
  <si>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</si>
  <si>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</si>
  <si>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</si>
  <si>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</si>
  <si>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</si>
  <si>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</si>
  <si>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</si>
  <si>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</si>
  <si>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</si>
  <si>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</si>
  <si>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</si>
  <si>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</si>
  <si>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</si>
  <si>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</si>
  <si>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</si>
  <si>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</si>
  <si>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</si>
  <si>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</si>
  <si>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</si>
  <si>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</si>
  <si>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</si>
  <si>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</si>
  <si>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</si>
  <si>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</si>
  <si>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</si>
  <si>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</si>
  <si>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</si>
  <si>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</si>
  <si>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</si>
  <si>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</si>
  <si>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</si>
  <si>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</si>
  <si>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</si>
  <si>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</si>
  <si>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</si>
  <si>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</si>
  <si>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</si>
  <si>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</si>
  <si>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</si>
  <si>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</si>
  <si>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</si>
  <si>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</si>
  <si>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</si>
  <si>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</si>
  <si>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</si>
  <si>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</si>
  <si>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</si>
  <si>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</si>
  <si>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</si>
  <si>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</si>
  <si>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</si>
  <si>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</si>
  <si>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</si>
  <si>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</si>
  <si>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</si>
  <si>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</si>
  <si>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</si>
  <si>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</si>
  <si>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</si>
  <si>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</si>
  <si>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</si>
  <si>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</si>
  <si>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</si>
  <si>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</si>
  <si>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</si>
  <si>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</si>
  <si>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</si>
  <si>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</si>
  <si>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</si>
  <si>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</si>
  <si>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</si>
  <si>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</si>
  <si>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</si>
  <si>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</si>
  <si>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</si>
  <si>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</si>
  <si>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</si>
  <si>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</si>
  <si>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</si>
  <si>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</si>
  <si>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</si>
  <si>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</si>
  <si>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</si>
  <si>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</si>
  <si>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</si>
  <si>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</si>
  <si>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</si>
  <si>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</si>
  <si>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</si>
  <si>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</si>
  <si>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</si>
  <si>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</si>
  <si>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</si>
  <si>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</si>
  <si>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</si>
  <si>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</si>
  <si>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</si>
  <si>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</si>
  <si>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</si>
  <si>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</si>
  <si>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</si>
  <si>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</si>
  <si>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</si>
  <si>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</si>
  <si>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</si>
  <si>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</si>
  <si>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</si>
  <si>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</si>
  <si>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</si>
  <si>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</si>
  <si>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</si>
  <si>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</si>
  <si>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</si>
  <si>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</si>
  <si>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</si>
  <si>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</si>
  <si>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</si>
  <si>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</si>
  <si>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</si>
  <si>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</si>
  <si>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</si>
  <si>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</si>
  <si>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</si>
  <si>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</si>
  <si>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</si>
  <si>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</si>
  <si>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</si>
  <si>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</si>
  <si>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</si>
  <si>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</si>
  <si>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</si>
  <si>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</si>
  <si>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</si>
  <si>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</si>
  <si>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</si>
  <si>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</si>
  <si>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</si>
  <si>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</si>
  <si>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</si>
  <si>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</si>
  <si>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</si>
  <si>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</si>
  <si>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</si>
  <si>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</si>
  <si>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</si>
  <si>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</si>
  <si>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</si>
  <si>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</si>
  <si>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</si>
  <si>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</si>
  <si>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</si>
  <si>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</si>
  <si>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</si>
  <si>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</si>
  <si>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</si>
  <si>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</si>
  <si>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</si>
  <si>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</si>
  <si>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</si>
  <si>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</si>
  <si>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</si>
  <si>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</si>
  <si>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</si>
  <si>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</si>
  <si>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</si>
  <si>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</si>
  <si>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</si>
  <si>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</si>
  <si>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</si>
  <si>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</si>
  <si>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</si>
  <si>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</si>
  <si>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</si>
  <si>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</si>
  <si>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</si>
  <si>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</si>
  <si>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</si>
  <si>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</si>
  <si>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</si>
  <si>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</si>
  <si>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</si>
  <si>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</si>
  <si>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</si>
  <si>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</si>
  <si>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</si>
  <si>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</si>
  <si>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</si>
  <si>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</si>
  <si>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</si>
  <si>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</si>
  <si>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</si>
  <si>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</si>
  <si>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</si>
  <si>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</si>
  <si>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</si>
  <si>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</si>
  <si>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</si>
  <si>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</si>
  <si>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</si>
  <si>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</si>
  <si>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</si>
  <si>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</si>
  <si>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</si>
  <si>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</si>
  <si>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</si>
  <si>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</si>
  <si>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</si>
  <si>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</si>
  <si>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</si>
  <si>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</si>
  <si>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</si>
  <si>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</si>
  <si>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</si>
  <si>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</si>
  <si>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</si>
  <si>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</si>
  <si>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</si>
  <si>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</si>
  <si>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</si>
  <si>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</si>
  <si>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</si>
  <si>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</si>
  <si>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</si>
  <si>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</si>
  <si>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</si>
  <si>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</si>
  <si>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</si>
  <si>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</si>
  <si>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</si>
  <si>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</si>
  <si>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</si>
  <si>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</si>
  <si>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</si>
  <si>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</si>
  <si>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</si>
  <si>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</si>
  <si>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</si>
  <si>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</si>
  <si>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</si>
  <si>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</si>
  <si>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</si>
  <si>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</si>
  <si>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</si>
  <si>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</si>
  <si>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</si>
  <si>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</si>
  <si>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</si>
  <si>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</si>
  <si>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</si>
  <si>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</si>
  <si>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</si>
  <si>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</si>
  <si>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</si>
  <si>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</si>
  <si>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</si>
  <si>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</si>
  <si>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</si>
  <si>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</si>
  <si>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</si>
  <si>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</si>
  <si>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</si>
  <si>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</si>
  <si>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</si>
  <si>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</si>
  <si>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</si>
  <si>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</si>
  <si>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</si>
  <si>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</si>
  <si>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</si>
  <si>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</si>
  <si>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</si>
  <si>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</si>
  <si>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</si>
  <si>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</si>
  <si>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</si>
  <si>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</si>
  <si>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</si>
  <si>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</si>
  <si>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</si>
  <si>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</si>
  <si>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</si>
  <si>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</si>
  <si>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</si>
  <si>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</si>
  <si>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</si>
  <si>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</si>
  <si>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</si>
  <si>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</si>
  <si>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</si>
  <si>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</si>
  <si>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</si>
  <si>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</si>
  <si>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</si>
  <si>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</si>
  <si>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</si>
  <si>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</si>
  <si>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</si>
  <si>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</si>
  <si>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</si>
  <si>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</si>
  <si>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</si>
  <si>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</si>
  <si>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</si>
  <si>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</si>
  <si>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</si>
  <si>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</si>
  <si>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</si>
  <si>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</si>
  <si>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</si>
  <si>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</si>
  <si>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</si>
  <si>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</si>
  <si>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</si>
  <si>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</si>
  <si>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</si>
  <si>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</si>
  <si>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</si>
  <si>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</si>
  <si>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</si>
  <si>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</si>
  <si>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</si>
  <si>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</si>
  <si>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</si>
  <si>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</si>
  <si>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</si>
  <si>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</si>
  <si>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</si>
  <si>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</si>
  <si>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</si>
  <si>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</si>
  <si>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</si>
  <si>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</si>
  <si>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</si>
  <si>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</si>
  <si>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</si>
  <si>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</si>
  <si>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</si>
  <si>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</si>
  <si>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</si>
  <si>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</si>
  <si>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</si>
  <si>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</si>
  <si>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</si>
  <si>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</si>
  <si>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</si>
  <si>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</si>
  <si>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</si>
  <si>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</si>
  <si>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</si>
  <si>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</si>
  <si>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</si>
  <si>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</si>
  <si>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</si>
  <si>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</si>
  <si>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</si>
  <si>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</si>
  <si>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</si>
  <si>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</si>
  <si>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</si>
  <si>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</si>
  <si>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</si>
  <si>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</si>
  <si>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</si>
  <si>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</si>
  <si>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</si>
  <si>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</si>
  <si>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</si>
  <si>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</si>
  <si>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</si>
  <si>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</si>
  <si>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</si>
  <si>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</si>
  <si>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</si>
  <si>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</si>
  <si>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</si>
  <si>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</si>
  <si>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</si>
  <si>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</si>
  <si>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</si>
  <si>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</si>
  <si>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</si>
  <si>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</si>
  <si>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</si>
  <si>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</si>
  <si>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</si>
  <si>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</si>
  <si>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</si>
  <si>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</si>
  <si>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</si>
  <si>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</si>
  <si>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</si>
  <si>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</si>
  <si>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</si>
  <si>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</si>
  <si>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</si>
  <si>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</si>
  <si>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</si>
  <si>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</si>
  <si>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</si>
  <si>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</si>
  <si>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</si>
  <si>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</si>
  <si>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</si>
  <si>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</si>
  <si>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</si>
  <si>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</si>
  <si>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</si>
  <si>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</si>
  <si>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</si>
  <si>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</si>
  <si>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</si>
  <si>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</si>
  <si>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</si>
  <si>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</si>
  <si>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</si>
  <si>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</si>
  <si>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</si>
  <si>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</si>
  <si>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</si>
  <si>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</si>
  <si>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</si>
  <si>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</si>
  <si>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</si>
  <si>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</si>
  <si>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</si>
  <si>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</si>
  <si>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</si>
  <si>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</si>
  <si>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</si>
  <si>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</si>
  <si>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</si>
  <si>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</si>
  <si>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</si>
  <si>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</si>
  <si>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</si>
  <si>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</si>
  <si>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</si>
  <si>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</si>
  <si>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</si>
  <si>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</si>
  <si>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</si>
  <si>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</si>
  <si>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</si>
  <si>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</si>
  <si>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</si>
  <si>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</si>
  <si>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</si>
  <si>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</si>
  <si>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</si>
  <si>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</si>
  <si>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</si>
  <si>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</si>
  <si>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</si>
  <si>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</si>
  <si>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</si>
  <si>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</si>
  <si>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</si>
  <si>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</si>
  <si>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</si>
  <si>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</si>
  <si>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</si>
  <si>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</si>
  <si>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</si>
  <si>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</si>
  <si>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</si>
  <si>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</si>
  <si>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</si>
  <si>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</si>
  <si>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Universidad de Guanajuato</t>
  </si>
  <si>
    <t>Al 31 de diciembre de 2019 y al 30 de marzo de 2020 (b)</t>
  </si>
  <si>
    <t>Del 1 de enero al 30 de marzo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</si>
</sst>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1" fillId="0" borderId="13" xfId="0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3" xfId="0" applyBorder="1" applyProtection="1">
      <protection locked="0"/>
    </xf>
    <xf numFmtId="0" fontId="6" fillId="0" borderId="13" xfId="0" applyFont="1" applyBorder="1" applyProtection="1"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51" t="s">
        <v>829</v>
      </c>
      <c r="B1" s="152"/>
      <c r="C1" s="152"/>
      <c r="D1" s="152"/>
      <c r="E1" s="153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54" t="s">
        <v>3302</v>
      </c>
      <c r="D3" s="154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1">
    <pageSetUpPr fitToPage="1"/>
  </sheetPr>
  <dimension ref="A1:K75"/>
  <sheetViews>
    <sheetView showGridLines="0" topLeftCell="A60" workbookViewId="0">
      <selection activeCell="B74" sqref="B74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88" customFormat="1" ht="37.5" customHeight="1" x14ac:dyDescent="0.45">
      <c r="A1" s="167" t="s">
        <v>542</v>
      </c>
      <c r="B1" s="167"/>
      <c r="C1" s="167"/>
      <c r="D1" s="167"/>
      <c r="E1" s="108"/>
      <c r="F1" s="108"/>
      <c r="G1" s="108"/>
      <c r="H1" s="108"/>
      <c r="I1" s="108"/>
      <c r="J1" s="108"/>
      <c r="K1" s="108"/>
    </row>
    <row r="2" spans="1:11" ht="14.25" x14ac:dyDescent="0.45">
      <c r="A2" s="155" t="str">
        <f>ENTE_PUBLICO_A</f>
        <v>Universidad de Guanajuato, Gobierno del Estado de Guanajuato (a)</v>
      </c>
      <c r="B2" s="156"/>
      <c r="C2" s="156"/>
      <c r="D2" s="157"/>
    </row>
    <row r="3" spans="1:11" ht="14.25" x14ac:dyDescent="0.45">
      <c r="A3" s="158" t="s">
        <v>166</v>
      </c>
      <c r="B3" s="159"/>
      <c r="C3" s="159"/>
      <c r="D3" s="160"/>
    </row>
    <row r="4" spans="1:11" ht="14.25" x14ac:dyDescent="0.45">
      <c r="A4" s="161" t="str">
        <f>TRIMESTRE</f>
        <v>Del 1 de enero al 30 de marzo de 2020 (b)</v>
      </c>
      <c r="B4" s="162"/>
      <c r="C4" s="162"/>
      <c r="D4" s="163"/>
    </row>
    <row r="5" spans="1:11" ht="14.25" x14ac:dyDescent="0.45">
      <c r="A5" s="164" t="s">
        <v>118</v>
      </c>
      <c r="B5" s="165"/>
      <c r="C5" s="165"/>
      <c r="D5" s="166"/>
    </row>
    <row r="6" spans="1:11" ht="14.25" x14ac:dyDescent="0.45"/>
    <row r="7" spans="1:11" ht="39" customHeight="1" x14ac:dyDescent="0.45">
      <c r="A7" s="113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3691401852.9438</v>
      </c>
      <c r="C8" s="40">
        <f t="shared" ref="C8:D8" si="0">SUM(C9:C11)</f>
        <v>1794044030.0299997</v>
      </c>
      <c r="D8" s="40">
        <f t="shared" si="0"/>
        <v>1794044030.0299997</v>
      </c>
    </row>
    <row r="9" spans="1:11" x14ac:dyDescent="0.25">
      <c r="A9" s="53" t="s">
        <v>169</v>
      </c>
      <c r="B9" s="146">
        <v>1700707680.0138001</v>
      </c>
      <c r="C9" s="146">
        <v>778597136.41999984</v>
      </c>
      <c r="D9" s="146">
        <v>778597136.41999984</v>
      </c>
    </row>
    <row r="10" spans="1:11" x14ac:dyDescent="0.25">
      <c r="A10" s="53" t="s">
        <v>170</v>
      </c>
      <c r="B10" s="146">
        <v>1990694172.9300001</v>
      </c>
      <c r="C10" s="146">
        <v>1015446893.61</v>
      </c>
      <c r="D10" s="146">
        <v>1015446893.61</v>
      </c>
    </row>
    <row r="11" spans="1:11" x14ac:dyDescent="0.25">
      <c r="A11" s="53" t="s">
        <v>171</v>
      </c>
      <c r="B11" s="146">
        <f>B44</f>
        <v>0</v>
      </c>
      <c r="C11" s="146">
        <f t="shared" ref="C11" si="1">C44</f>
        <v>0</v>
      </c>
      <c r="D11" s="146">
        <f>D44</f>
        <v>0</v>
      </c>
    </row>
    <row r="12" spans="1:11" ht="14.25" x14ac:dyDescent="0.45">
      <c r="A12" s="92"/>
      <c r="B12" s="12"/>
      <c r="C12" s="12"/>
      <c r="D12" s="12"/>
    </row>
    <row r="13" spans="1:11" ht="14.25" x14ac:dyDescent="0.45">
      <c r="A13" s="55" t="s">
        <v>180</v>
      </c>
      <c r="B13" s="40">
        <f>B14+B15</f>
        <v>3538760754.3000031</v>
      </c>
      <c r="C13" s="40">
        <f t="shared" ref="C13:D13" si="2">C14+C15</f>
        <v>1372437794.7</v>
      </c>
      <c r="D13" s="40">
        <f t="shared" si="2"/>
        <v>1333899004.1599998</v>
      </c>
    </row>
    <row r="14" spans="1:11" x14ac:dyDescent="0.25">
      <c r="A14" s="53" t="s">
        <v>172</v>
      </c>
      <c r="B14" s="146">
        <v>1528795936.3800011</v>
      </c>
      <c r="C14" s="146">
        <v>539308680.32000005</v>
      </c>
      <c r="D14" s="146">
        <v>507615377.90999973</v>
      </c>
    </row>
    <row r="15" spans="1:11" x14ac:dyDescent="0.25">
      <c r="A15" s="53" t="s">
        <v>173</v>
      </c>
      <c r="B15" s="146">
        <v>2009964817.920002</v>
      </c>
      <c r="C15" s="146">
        <v>833129114.38</v>
      </c>
      <c r="D15" s="146">
        <v>826283626.25</v>
      </c>
    </row>
    <row r="16" spans="1:11" ht="14.25" x14ac:dyDescent="0.45">
      <c r="A16" s="92"/>
      <c r="B16" s="12"/>
      <c r="C16" s="12"/>
      <c r="D16" s="12"/>
    </row>
    <row r="17" spans="1:4" ht="14.25" x14ac:dyDescent="0.45">
      <c r="A17" s="55" t="s">
        <v>174</v>
      </c>
      <c r="B17" s="114">
        <f>B18+B19</f>
        <v>0</v>
      </c>
      <c r="C17" s="40">
        <f t="shared" ref="C17" si="3">C18+C19</f>
        <v>89837062.270000011</v>
      </c>
      <c r="D17" s="40">
        <f>D18+D19</f>
        <v>86632384.379999995</v>
      </c>
    </row>
    <row r="18" spans="1:4" x14ac:dyDescent="0.25">
      <c r="A18" s="53" t="s">
        <v>175</v>
      </c>
      <c r="B18" s="115">
        <v>0</v>
      </c>
      <c r="C18" s="146">
        <v>67898371.330000013</v>
      </c>
      <c r="D18" s="146">
        <v>65568376.129999995</v>
      </c>
    </row>
    <row r="19" spans="1:4" x14ac:dyDescent="0.25">
      <c r="A19" s="53" t="s">
        <v>176</v>
      </c>
      <c r="B19" s="115">
        <v>0</v>
      </c>
      <c r="C19" s="146">
        <v>21938690.93999999</v>
      </c>
      <c r="D19" s="147">
        <v>21064008.249999996</v>
      </c>
    </row>
    <row r="20" spans="1:4" x14ac:dyDescent="0.25">
      <c r="A20" s="92"/>
      <c r="B20" s="12"/>
      <c r="C20" s="12"/>
      <c r="D20" s="12"/>
    </row>
    <row r="21" spans="1:4" x14ac:dyDescent="0.25">
      <c r="A21" s="55" t="s">
        <v>177</v>
      </c>
      <c r="B21" s="40">
        <f>B8-B13+B17</f>
        <v>152641098.64379692</v>
      </c>
      <c r="C21" s="40">
        <f t="shared" ref="C21:D21" si="4">C8-C13+C17</f>
        <v>511443297.59999967</v>
      </c>
      <c r="D21" s="40">
        <f t="shared" si="4"/>
        <v>546777410.24999988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152641098.64379692</v>
      </c>
      <c r="C23" s="40">
        <f t="shared" ref="C23:D23" si="5">C21-C11</f>
        <v>511443297.59999967</v>
      </c>
      <c r="D23" s="40">
        <f t="shared" si="5"/>
        <v>546777410.24999988</v>
      </c>
    </row>
    <row r="24" spans="1:4" x14ac:dyDescent="0.25">
      <c r="A24" s="55"/>
      <c r="B24" s="17"/>
      <c r="C24" s="17"/>
      <c r="D24" s="17"/>
    </row>
    <row r="25" spans="1:4" x14ac:dyDescent="0.25">
      <c r="A25" s="116" t="s">
        <v>179</v>
      </c>
      <c r="B25" s="40">
        <f>B23-B17</f>
        <v>152641098.64379692</v>
      </c>
      <c r="C25" s="40">
        <f t="shared" ref="C25" si="6">C23-C17</f>
        <v>421606235.32999969</v>
      </c>
      <c r="D25" s="40">
        <f>D23-D17</f>
        <v>460145025.86999989</v>
      </c>
    </row>
    <row r="26" spans="1:4" x14ac:dyDescent="0.25">
      <c r="A26" s="117"/>
      <c r="B26" s="13"/>
      <c r="C26" s="13"/>
      <c r="D26" s="13"/>
    </row>
    <row r="27" spans="1:4" x14ac:dyDescent="0.25">
      <c r="A27" s="87"/>
    </row>
    <row r="28" spans="1:4" ht="30" customHeight="1" x14ac:dyDescent="0.25">
      <c r="A28" s="113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25">
      <c r="A30" s="53" t="s">
        <v>187</v>
      </c>
      <c r="B30" s="145">
        <v>0</v>
      </c>
      <c r="C30" s="145">
        <v>0</v>
      </c>
      <c r="D30" s="145">
        <v>0</v>
      </c>
    </row>
    <row r="31" spans="1:4" x14ac:dyDescent="0.25">
      <c r="A31" s="53" t="s">
        <v>188</v>
      </c>
      <c r="B31" s="145">
        <v>0</v>
      </c>
      <c r="C31" s="145">
        <v>0</v>
      </c>
      <c r="D31" s="145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152641098.64379692</v>
      </c>
      <c r="C33" s="61">
        <f t="shared" ref="C33:D33" si="8">C25+C29</f>
        <v>421606235.32999969</v>
      </c>
      <c r="D33" s="61">
        <f t="shared" si="8"/>
        <v>460145025.86999989</v>
      </c>
    </row>
    <row r="34" spans="1:4" x14ac:dyDescent="0.25">
      <c r="A34" s="58"/>
      <c r="B34" s="58"/>
      <c r="C34" s="58"/>
      <c r="D34" s="58"/>
    </row>
    <row r="35" spans="1:4" x14ac:dyDescent="0.25">
      <c r="A35" s="87"/>
    </row>
    <row r="36" spans="1:4" ht="30" x14ac:dyDescent="0.25">
      <c r="A36" s="113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145">
        <v>0</v>
      </c>
      <c r="C38" s="145">
        <v>0</v>
      </c>
      <c r="D38" s="145">
        <v>0</v>
      </c>
    </row>
    <row r="39" spans="1:4" x14ac:dyDescent="0.25">
      <c r="A39" s="53" t="s">
        <v>193</v>
      </c>
      <c r="B39" s="145">
        <v>0</v>
      </c>
      <c r="C39" s="145">
        <v>0</v>
      </c>
      <c r="D39" s="145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145">
        <v>0</v>
      </c>
      <c r="C41" s="145">
        <v>0</v>
      </c>
      <c r="D41" s="145">
        <v>0</v>
      </c>
    </row>
    <row r="42" spans="1:4" x14ac:dyDescent="0.25">
      <c r="A42" s="53" t="s">
        <v>196</v>
      </c>
      <c r="B42" s="145">
        <v>0</v>
      </c>
      <c r="C42" s="145">
        <v>0</v>
      </c>
      <c r="D42" s="145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38"/>
      <c r="B45" s="58"/>
      <c r="C45" s="58"/>
      <c r="D45" s="58"/>
    </row>
    <row r="46" spans="1:4" x14ac:dyDescent="0.25"/>
    <row r="47" spans="1:4" ht="30" x14ac:dyDescent="0.25">
      <c r="A47" s="113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1" t="s">
        <v>198</v>
      </c>
      <c r="B48" s="148">
        <f>B9</f>
        <v>1700707680.0138001</v>
      </c>
      <c r="C48" s="148">
        <f>C9</f>
        <v>778597136.41999984</v>
      </c>
      <c r="D48" s="148">
        <f t="shared" ref="D48" si="12">D9</f>
        <v>778597136.41999984</v>
      </c>
    </row>
    <row r="49" spans="1:4" x14ac:dyDescent="0.25">
      <c r="A49" s="122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3" t="s">
        <v>192</v>
      </c>
      <c r="B50" s="145">
        <v>0</v>
      </c>
      <c r="C50" s="145">
        <v>0</v>
      </c>
      <c r="D50" s="145">
        <v>0</v>
      </c>
    </row>
    <row r="51" spans="1:4" x14ac:dyDescent="0.25">
      <c r="A51" s="123" t="s">
        <v>195</v>
      </c>
      <c r="B51" s="145">
        <v>0</v>
      </c>
      <c r="C51" s="145">
        <v>0</v>
      </c>
      <c r="D51" s="145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145">
        <f>B14</f>
        <v>1528795936.3800011</v>
      </c>
      <c r="C53" s="145">
        <f t="shared" ref="C53:D53" si="14">C14</f>
        <v>539308680.32000005</v>
      </c>
      <c r="D53" s="145">
        <f t="shared" si="14"/>
        <v>507615377.90999973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0">
        <f>B18</f>
        <v>0</v>
      </c>
      <c r="C55" s="60">
        <f t="shared" ref="C55:D55" si="15">C18</f>
        <v>67898371.330000013</v>
      </c>
      <c r="D55" s="60">
        <f t="shared" si="15"/>
        <v>65568376.129999995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6" t="s">
        <v>201</v>
      </c>
      <c r="B57" s="61">
        <f>B48+B49-B53+B55</f>
        <v>171911743.63379908</v>
      </c>
      <c r="C57" s="61">
        <f>C48+C49-C53+C55</f>
        <v>307186827.42999983</v>
      </c>
      <c r="D57" s="61">
        <f t="shared" ref="D57" si="16">D48+D49-D53+D55</f>
        <v>336550134.6400001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6" t="s">
        <v>200</v>
      </c>
      <c r="B59" s="61">
        <f>B57-B49</f>
        <v>171911743.63379908</v>
      </c>
      <c r="C59" s="61">
        <f t="shared" ref="C59:D59" si="17">C57-C49</f>
        <v>307186827.42999983</v>
      </c>
      <c r="D59" s="61">
        <f t="shared" si="17"/>
        <v>336550134.6400001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3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1" t="s">
        <v>170</v>
      </c>
      <c r="B63" s="118">
        <f>B10</f>
        <v>1990694172.9300001</v>
      </c>
      <c r="C63" s="118">
        <f t="shared" ref="C63:D63" si="18">C10</f>
        <v>1015446893.61</v>
      </c>
      <c r="D63" s="118">
        <f t="shared" si="18"/>
        <v>1015446893.61</v>
      </c>
    </row>
    <row r="64" spans="1:4" ht="30" x14ac:dyDescent="0.25">
      <c r="A64" s="122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3" t="s">
        <v>193</v>
      </c>
      <c r="B65" s="23">
        <v>1</v>
      </c>
      <c r="C65" s="23">
        <v>1</v>
      </c>
      <c r="D65" s="23">
        <v>1</v>
      </c>
    </row>
    <row r="66" spans="1:4" x14ac:dyDescent="0.25">
      <c r="A66" s="123" t="s">
        <v>196</v>
      </c>
      <c r="B66" s="23">
        <v>1</v>
      </c>
      <c r="C66" s="23">
        <v>1</v>
      </c>
      <c r="D66" s="23">
        <v>1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146">
        <f>B15</f>
        <v>2009964817.920002</v>
      </c>
      <c r="C68" s="146">
        <f t="shared" ref="C68:D68" si="20">C15</f>
        <v>833129114.38</v>
      </c>
      <c r="D68" s="146">
        <f t="shared" si="20"/>
        <v>826283626.25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19">
        <f>B19</f>
        <v>0</v>
      </c>
      <c r="C70" s="146">
        <f t="shared" ref="C70:D70" si="21">C19</f>
        <v>21938690.93999999</v>
      </c>
      <c r="D70" s="146">
        <f t="shared" si="21"/>
        <v>21064008.249999996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6" t="s">
        <v>205</v>
      </c>
      <c r="B72" s="40">
        <f>B63+B64-B68+B70</f>
        <v>-19270644.990001917</v>
      </c>
      <c r="C72" s="40">
        <f t="shared" ref="C72:D72" si="22">C63+C64-C68+C70</f>
        <v>204256470.17000002</v>
      </c>
      <c r="D72" s="40">
        <f t="shared" si="22"/>
        <v>210227275.61000001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6" t="s">
        <v>204</v>
      </c>
      <c r="B74" s="40">
        <f>B72-B64</f>
        <v>-19270644.990001917</v>
      </c>
      <c r="C74" s="40">
        <f>C72-C64</f>
        <v>204256470.17000002</v>
      </c>
      <c r="D74" s="40">
        <f t="shared" ref="D74" si="23">D72-D64</f>
        <v>210227275.61000001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 xr:uid="{00000000-0002-0000-09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3691401852.9438</v>
      </c>
      <c r="Q2" s="18">
        <f>'Formato 4'!C8</f>
        <v>1794044030.0299997</v>
      </c>
      <c r="R2" s="18">
        <f>'Formato 4'!D8</f>
        <v>1794044030.0299997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1700707680.0138001</v>
      </c>
      <c r="Q3" s="18">
        <f>'Formato 4'!C9</f>
        <v>778597136.41999984</v>
      </c>
      <c r="R3" s="18">
        <f>'Formato 4'!D9</f>
        <v>778597136.41999984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1990694172.9300001</v>
      </c>
      <c r="Q4" s="18">
        <f>'Formato 4'!C10</f>
        <v>1015446893.61</v>
      </c>
      <c r="R4" s="18">
        <f>'Formato 4'!D10</f>
        <v>1015446893.61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3538760754.3000031</v>
      </c>
      <c r="Q6" s="18">
        <f>'Formato 4'!C13</f>
        <v>1372437794.7</v>
      </c>
      <c r="R6" s="18">
        <f>'Formato 4'!D13</f>
        <v>1333899004.1599998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1528795936.3800011</v>
      </c>
      <c r="Q7" s="18">
        <f>'Formato 4'!C14</f>
        <v>539308680.32000005</v>
      </c>
      <c r="R7" s="18">
        <f>'Formato 4'!D14</f>
        <v>507615377.90999973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2009964817.920002</v>
      </c>
      <c r="Q8" s="18">
        <f>'Formato 4'!C15</f>
        <v>833129114.38</v>
      </c>
      <c r="R8" s="18">
        <f>'Formato 4'!D15</f>
        <v>826283626.25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89837062.270000011</v>
      </c>
      <c r="R9" s="18">
        <f>'Formato 4'!D17</f>
        <v>86632384.379999995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67898371.330000013</v>
      </c>
      <c r="R10" s="18">
        <f>'Formato 4'!D18</f>
        <v>65568376.129999995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21938690.93999999</v>
      </c>
      <c r="R11" s="18">
        <f>'Formato 4'!D19</f>
        <v>21064008.249999996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152641098.64379692</v>
      </c>
      <c r="Q12" s="18">
        <f>'Formato 4'!C21</f>
        <v>511443297.59999967</v>
      </c>
      <c r="R12" s="18">
        <f>'Formato 4'!D21</f>
        <v>546777410.24999988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152641098.64379692</v>
      </c>
      <c r="Q13" s="18">
        <f>'Formato 4'!C23</f>
        <v>511443297.59999967</v>
      </c>
      <c r="R13" s="18">
        <f>'Formato 4'!D23</f>
        <v>546777410.24999988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152641098.64379692</v>
      </c>
      <c r="Q14" s="18">
        <f>'Formato 4'!C25</f>
        <v>421606235.32999969</v>
      </c>
      <c r="R14" s="18">
        <f>'Formato 4'!D25</f>
        <v>460145025.86999989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152641098.64379692</v>
      </c>
      <c r="Q18">
        <f>'Formato 4'!C33</f>
        <v>421606235.32999969</v>
      </c>
      <c r="R18">
        <f>'Formato 4'!D33</f>
        <v>460145025.86999989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1700707680.0138001</v>
      </c>
      <c r="Q26">
        <f>'Formato 4'!C48</f>
        <v>778597136.41999984</v>
      </c>
      <c r="R26">
        <f>'Formato 4'!D48</f>
        <v>778597136.41999984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1528795936.3800011</v>
      </c>
      <c r="Q30">
        <f>'Formato 4'!C53</f>
        <v>539308680.32000005</v>
      </c>
      <c r="R30">
        <f>'Formato 4'!D53</f>
        <v>507615377.90999973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67898371.330000013</v>
      </c>
      <c r="R31">
        <f>'Formato 4'!D55</f>
        <v>65568376.129999995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1990694172.9300001</v>
      </c>
      <c r="Q32">
        <f>'Formato 4'!C63</f>
        <v>1015446893.61</v>
      </c>
      <c r="R32">
        <f>'Formato 4'!D63</f>
        <v>1015446893.61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1</v>
      </c>
      <c r="Q34">
        <f>'Formato 4'!C65</f>
        <v>1</v>
      </c>
      <c r="R34">
        <f>'Formato 4'!D65</f>
        <v>1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1</v>
      </c>
      <c r="Q35">
        <f>'Formato 4'!C66</f>
        <v>1</v>
      </c>
      <c r="R35">
        <f>'Formato 4'!D66</f>
        <v>1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2009964817.920002</v>
      </c>
      <c r="Q36">
        <f>'Formato 4'!C68</f>
        <v>833129114.38</v>
      </c>
      <c r="R36">
        <f>'Formato 4'!D68</f>
        <v>826283626.25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21938690.93999999</v>
      </c>
      <c r="R37">
        <f>'Formato 4'!D70</f>
        <v>21064008.249999996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-19270644.990001917</v>
      </c>
      <c r="Q38">
        <f>'Formato 4'!C72</f>
        <v>204256470.17000002</v>
      </c>
      <c r="R38">
        <f>'Formato 4'!D72</f>
        <v>210227275.61000001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-19270644.990001917</v>
      </c>
      <c r="Q39">
        <f>'Formato 4'!C74</f>
        <v>204256470.17000002</v>
      </c>
      <c r="R39">
        <f>'Formato 4'!D74</f>
        <v>210227275.61000001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1"/>
  <dimension ref="A1:H76"/>
  <sheetViews>
    <sheetView showGridLines="0" zoomScale="85" zoomScaleNormal="85" workbookViewId="0">
      <selection activeCell="A2" sqref="A2:G2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88" customFormat="1" ht="37.5" customHeight="1" x14ac:dyDescent="0.25">
      <c r="A1" s="173" t="s">
        <v>206</v>
      </c>
      <c r="B1" s="173"/>
      <c r="C1" s="173"/>
      <c r="D1" s="173"/>
      <c r="E1" s="173"/>
      <c r="F1" s="173"/>
      <c r="G1" s="173"/>
    </row>
    <row r="2" spans="1:8" ht="14.25" x14ac:dyDescent="0.45">
      <c r="A2" s="155" t="str">
        <f>ENTE_PUBLICO_A</f>
        <v>Universidad de Guanajuato, Gobierno del Estado de Guanajuato (a)</v>
      </c>
      <c r="B2" s="156"/>
      <c r="C2" s="156"/>
      <c r="D2" s="156"/>
      <c r="E2" s="156"/>
      <c r="F2" s="156"/>
      <c r="G2" s="157"/>
    </row>
    <row r="3" spans="1:8" x14ac:dyDescent="0.25">
      <c r="A3" s="158" t="s">
        <v>207</v>
      </c>
      <c r="B3" s="159"/>
      <c r="C3" s="159"/>
      <c r="D3" s="159"/>
      <c r="E3" s="159"/>
      <c r="F3" s="159"/>
      <c r="G3" s="160"/>
    </row>
    <row r="4" spans="1:8" ht="14.25" x14ac:dyDescent="0.45">
      <c r="A4" s="161" t="str">
        <f>TRIMESTRE</f>
        <v>Del 1 de enero al 30 de marzo de 2020 (b)</v>
      </c>
      <c r="B4" s="162"/>
      <c r="C4" s="162"/>
      <c r="D4" s="162"/>
      <c r="E4" s="162"/>
      <c r="F4" s="162"/>
      <c r="G4" s="163"/>
    </row>
    <row r="5" spans="1:8" ht="14.25" x14ac:dyDescent="0.45">
      <c r="A5" s="164" t="s">
        <v>118</v>
      </c>
      <c r="B5" s="165"/>
      <c r="C5" s="165"/>
      <c r="D5" s="165"/>
      <c r="E5" s="165"/>
      <c r="F5" s="165"/>
      <c r="G5" s="166"/>
    </row>
    <row r="6" spans="1:8" x14ac:dyDescent="0.25">
      <c r="A6" s="170" t="s">
        <v>214</v>
      </c>
      <c r="B6" s="172" t="s">
        <v>208</v>
      </c>
      <c r="C6" s="172"/>
      <c r="D6" s="172"/>
      <c r="E6" s="172"/>
      <c r="F6" s="172"/>
      <c r="G6" s="172" t="s">
        <v>209</v>
      </c>
    </row>
    <row r="7" spans="1:8" ht="30" x14ac:dyDescent="0.25">
      <c r="A7" s="171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2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145">
        <v>0</v>
      </c>
      <c r="C9" s="145">
        <v>0</v>
      </c>
      <c r="D9" s="145">
        <v>0</v>
      </c>
      <c r="E9" s="145">
        <v>0</v>
      </c>
      <c r="F9" s="145">
        <v>0</v>
      </c>
      <c r="G9" s="145">
        <f>F9-B9</f>
        <v>0</v>
      </c>
      <c r="H9" s="8"/>
    </row>
    <row r="10" spans="1:8" x14ac:dyDescent="0.25">
      <c r="A10" s="53" t="s">
        <v>217</v>
      </c>
      <c r="B10" s="145">
        <v>45851676.830400005</v>
      </c>
      <c r="C10" s="145">
        <v>0</v>
      </c>
      <c r="D10" s="145">
        <v>45851676.830400005</v>
      </c>
      <c r="E10" s="145">
        <v>23313794.990000002</v>
      </c>
      <c r="F10" s="145">
        <v>23313794.990000002</v>
      </c>
      <c r="G10" s="145">
        <v>-22537881.840400003</v>
      </c>
    </row>
    <row r="11" spans="1:8" x14ac:dyDescent="0.25">
      <c r="A11" s="53" t="s">
        <v>218</v>
      </c>
      <c r="B11" s="145">
        <v>0</v>
      </c>
      <c r="C11" s="145">
        <v>0</v>
      </c>
      <c r="D11" s="145">
        <v>0</v>
      </c>
      <c r="E11" s="145">
        <v>0</v>
      </c>
      <c r="F11" s="145">
        <v>0</v>
      </c>
      <c r="G11" s="145">
        <f t="shared" ref="G11:G14" si="0">F11-B11</f>
        <v>0</v>
      </c>
    </row>
    <row r="12" spans="1:8" x14ac:dyDescent="0.25">
      <c r="A12" s="53" t="s">
        <v>219</v>
      </c>
      <c r="B12" s="145">
        <v>0</v>
      </c>
      <c r="C12" s="145">
        <v>0</v>
      </c>
      <c r="D12" s="145">
        <v>0</v>
      </c>
      <c r="E12" s="145">
        <v>0</v>
      </c>
      <c r="F12" s="145">
        <v>0</v>
      </c>
      <c r="G12" s="145">
        <f t="shared" si="0"/>
        <v>0</v>
      </c>
    </row>
    <row r="13" spans="1:8" x14ac:dyDescent="0.25">
      <c r="A13" s="53" t="s">
        <v>220</v>
      </c>
      <c r="B13" s="145">
        <v>0</v>
      </c>
      <c r="C13" s="145">
        <v>0</v>
      </c>
      <c r="D13" s="145">
        <v>0</v>
      </c>
      <c r="E13" s="145">
        <v>0</v>
      </c>
      <c r="F13" s="145">
        <v>0</v>
      </c>
      <c r="G13" s="145">
        <f t="shared" si="0"/>
        <v>0</v>
      </c>
    </row>
    <row r="14" spans="1:8" x14ac:dyDescent="0.25">
      <c r="A14" s="53" t="s">
        <v>221</v>
      </c>
      <c r="B14" s="145">
        <v>0</v>
      </c>
      <c r="C14" s="145">
        <v>0</v>
      </c>
      <c r="D14" s="145">
        <v>0</v>
      </c>
      <c r="E14" s="145">
        <v>0</v>
      </c>
      <c r="F14" s="145">
        <v>0</v>
      </c>
      <c r="G14" s="145">
        <f t="shared" si="0"/>
        <v>0</v>
      </c>
    </row>
    <row r="15" spans="1:8" x14ac:dyDescent="0.25">
      <c r="A15" s="53" t="s">
        <v>222</v>
      </c>
      <c r="B15" s="145">
        <v>494001556.18340003</v>
      </c>
      <c r="C15" s="145">
        <v>-404175.13</v>
      </c>
      <c r="D15" s="145">
        <v>493597381.05340004</v>
      </c>
      <c r="E15" s="145">
        <v>221979287.42999998</v>
      </c>
      <c r="F15" s="145">
        <v>221979287.42999998</v>
      </c>
      <c r="G15" s="145">
        <v>-272022268.75340009</v>
      </c>
    </row>
    <row r="16" spans="1:8" x14ac:dyDescent="0.25">
      <c r="A16" s="10" t="s">
        <v>275</v>
      </c>
      <c r="B16" s="145">
        <f>SUM(B17:B27)</f>
        <v>0</v>
      </c>
      <c r="C16" s="145">
        <f t="shared" ref="C16:F16" si="1">SUM(C17:C27)</f>
        <v>0</v>
      </c>
      <c r="D16" s="145">
        <f t="shared" si="1"/>
        <v>0</v>
      </c>
      <c r="E16" s="145">
        <f t="shared" si="1"/>
        <v>0</v>
      </c>
      <c r="F16" s="145">
        <f t="shared" si="1"/>
        <v>0</v>
      </c>
      <c r="G16" s="145">
        <f>SUM(G17:G27)</f>
        <v>0</v>
      </c>
    </row>
    <row r="17" spans="1:7" x14ac:dyDescent="0.25">
      <c r="A17" s="63" t="s">
        <v>223</v>
      </c>
      <c r="B17" s="145">
        <v>0</v>
      </c>
      <c r="C17" s="145">
        <v>0</v>
      </c>
      <c r="D17" s="145">
        <v>0</v>
      </c>
      <c r="E17" s="145">
        <v>0</v>
      </c>
      <c r="F17" s="145">
        <v>0</v>
      </c>
      <c r="G17" s="145">
        <f>F17-B17</f>
        <v>0</v>
      </c>
    </row>
    <row r="18" spans="1:7" x14ac:dyDescent="0.25">
      <c r="A18" s="63" t="s">
        <v>224</v>
      </c>
      <c r="B18" s="145">
        <v>0</v>
      </c>
      <c r="C18" s="145">
        <v>0</v>
      </c>
      <c r="D18" s="145">
        <v>0</v>
      </c>
      <c r="E18" s="145">
        <v>0</v>
      </c>
      <c r="F18" s="145">
        <v>0</v>
      </c>
      <c r="G18" s="145">
        <f t="shared" ref="G18:G27" si="2">F18-B18</f>
        <v>0</v>
      </c>
    </row>
    <row r="19" spans="1:7" x14ac:dyDescent="0.25">
      <c r="A19" s="63" t="s">
        <v>225</v>
      </c>
      <c r="B19" s="145">
        <v>0</v>
      </c>
      <c r="C19" s="145">
        <v>0</v>
      </c>
      <c r="D19" s="145">
        <v>0</v>
      </c>
      <c r="E19" s="145">
        <v>0</v>
      </c>
      <c r="F19" s="145">
        <v>0</v>
      </c>
      <c r="G19" s="145">
        <f t="shared" si="2"/>
        <v>0</v>
      </c>
    </row>
    <row r="20" spans="1:7" x14ac:dyDescent="0.25">
      <c r="A20" s="63" t="s">
        <v>226</v>
      </c>
      <c r="B20" s="145">
        <v>0</v>
      </c>
      <c r="C20" s="145">
        <v>0</v>
      </c>
      <c r="D20" s="145">
        <v>0</v>
      </c>
      <c r="E20" s="145">
        <v>0</v>
      </c>
      <c r="F20" s="145">
        <v>0</v>
      </c>
      <c r="G20" s="145">
        <f t="shared" si="2"/>
        <v>0</v>
      </c>
    </row>
    <row r="21" spans="1:7" x14ac:dyDescent="0.25">
      <c r="A21" s="63" t="s">
        <v>227</v>
      </c>
      <c r="B21" s="145">
        <v>0</v>
      </c>
      <c r="C21" s="145">
        <v>0</v>
      </c>
      <c r="D21" s="145">
        <v>0</v>
      </c>
      <c r="E21" s="145">
        <v>0</v>
      </c>
      <c r="F21" s="145">
        <v>0</v>
      </c>
      <c r="G21" s="145">
        <f t="shared" si="2"/>
        <v>0</v>
      </c>
    </row>
    <row r="22" spans="1:7" x14ac:dyDescent="0.25">
      <c r="A22" s="63" t="s">
        <v>228</v>
      </c>
      <c r="B22" s="145">
        <v>0</v>
      </c>
      <c r="C22" s="145">
        <v>0</v>
      </c>
      <c r="D22" s="145">
        <v>0</v>
      </c>
      <c r="E22" s="145">
        <v>0</v>
      </c>
      <c r="F22" s="145">
        <v>0</v>
      </c>
      <c r="G22" s="145">
        <f t="shared" si="2"/>
        <v>0</v>
      </c>
    </row>
    <row r="23" spans="1:7" x14ac:dyDescent="0.25">
      <c r="A23" s="63" t="s">
        <v>229</v>
      </c>
      <c r="B23" s="145">
        <v>0</v>
      </c>
      <c r="C23" s="145">
        <v>0</v>
      </c>
      <c r="D23" s="145">
        <v>0</v>
      </c>
      <c r="E23" s="145">
        <v>0</v>
      </c>
      <c r="F23" s="145">
        <v>0</v>
      </c>
      <c r="G23" s="145">
        <f t="shared" si="2"/>
        <v>0</v>
      </c>
    </row>
    <row r="24" spans="1:7" x14ac:dyDescent="0.25">
      <c r="A24" s="63" t="s">
        <v>230</v>
      </c>
      <c r="B24" s="145">
        <v>0</v>
      </c>
      <c r="C24" s="145">
        <v>0</v>
      </c>
      <c r="D24" s="145">
        <v>0</v>
      </c>
      <c r="E24" s="145">
        <v>0</v>
      </c>
      <c r="F24" s="145">
        <v>0</v>
      </c>
      <c r="G24" s="145">
        <f t="shared" si="2"/>
        <v>0</v>
      </c>
    </row>
    <row r="25" spans="1:7" x14ac:dyDescent="0.25">
      <c r="A25" s="63" t="s">
        <v>231</v>
      </c>
      <c r="B25" s="145">
        <v>0</v>
      </c>
      <c r="C25" s="145">
        <v>0</v>
      </c>
      <c r="D25" s="145">
        <v>0</v>
      </c>
      <c r="E25" s="145">
        <v>0</v>
      </c>
      <c r="F25" s="145">
        <v>0</v>
      </c>
      <c r="G25" s="145">
        <f t="shared" si="2"/>
        <v>0</v>
      </c>
    </row>
    <row r="26" spans="1:7" x14ac:dyDescent="0.25">
      <c r="A26" s="63" t="s">
        <v>232</v>
      </c>
      <c r="B26" s="145">
        <v>0</v>
      </c>
      <c r="C26" s="145">
        <v>0</v>
      </c>
      <c r="D26" s="145">
        <v>0</v>
      </c>
      <c r="E26" s="145">
        <v>0</v>
      </c>
      <c r="F26" s="145">
        <v>0</v>
      </c>
      <c r="G26" s="145">
        <f t="shared" si="2"/>
        <v>0</v>
      </c>
    </row>
    <row r="27" spans="1:7" x14ac:dyDescent="0.25">
      <c r="A27" s="63" t="s">
        <v>233</v>
      </c>
      <c r="B27" s="145">
        <v>0</v>
      </c>
      <c r="C27" s="145">
        <v>0</v>
      </c>
      <c r="D27" s="145">
        <v>0</v>
      </c>
      <c r="E27" s="145">
        <v>0</v>
      </c>
      <c r="F27" s="145">
        <v>0</v>
      </c>
      <c r="G27" s="145">
        <f t="shared" si="2"/>
        <v>0</v>
      </c>
    </row>
    <row r="28" spans="1:7" x14ac:dyDescent="0.25">
      <c r="A28" s="53" t="s">
        <v>234</v>
      </c>
      <c r="B28" s="145">
        <f>SUM(B29:B33)</f>
        <v>0</v>
      </c>
      <c r="C28" s="145">
        <f t="shared" ref="C28:G28" si="3">SUM(C29:C33)</f>
        <v>0</v>
      </c>
      <c r="D28" s="145">
        <f t="shared" si="3"/>
        <v>0</v>
      </c>
      <c r="E28" s="145">
        <f t="shared" si="3"/>
        <v>0</v>
      </c>
      <c r="F28" s="145">
        <f t="shared" si="3"/>
        <v>0</v>
      </c>
      <c r="G28" s="145">
        <f t="shared" si="3"/>
        <v>0</v>
      </c>
    </row>
    <row r="29" spans="1:7" x14ac:dyDescent="0.25">
      <c r="A29" s="63" t="s">
        <v>235</v>
      </c>
      <c r="B29" s="145">
        <v>0</v>
      </c>
      <c r="C29" s="145">
        <v>0</v>
      </c>
      <c r="D29" s="145">
        <v>0</v>
      </c>
      <c r="E29" s="145">
        <v>0</v>
      </c>
      <c r="F29" s="145">
        <v>0</v>
      </c>
      <c r="G29" s="145">
        <f>F29-B29</f>
        <v>0</v>
      </c>
    </row>
    <row r="30" spans="1:7" x14ac:dyDescent="0.25">
      <c r="A30" s="63" t="s">
        <v>236</v>
      </c>
      <c r="B30" s="145">
        <v>0</v>
      </c>
      <c r="C30" s="145">
        <v>0</v>
      </c>
      <c r="D30" s="145">
        <v>0</v>
      </c>
      <c r="E30" s="145">
        <v>0</v>
      </c>
      <c r="F30" s="145">
        <v>0</v>
      </c>
      <c r="G30" s="145">
        <f>F30-B30</f>
        <v>0</v>
      </c>
    </row>
    <row r="31" spans="1:7" x14ac:dyDescent="0.25">
      <c r="A31" s="63" t="s">
        <v>237</v>
      </c>
      <c r="B31" s="145">
        <v>0</v>
      </c>
      <c r="C31" s="145">
        <v>0</v>
      </c>
      <c r="D31" s="145">
        <v>0</v>
      </c>
      <c r="E31" s="145">
        <v>0</v>
      </c>
      <c r="F31" s="145">
        <v>0</v>
      </c>
      <c r="G31" s="145">
        <f t="shared" ref="G31:G34" si="4">F31-B31</f>
        <v>0</v>
      </c>
    </row>
    <row r="32" spans="1:7" x14ac:dyDescent="0.25">
      <c r="A32" s="63" t="s">
        <v>238</v>
      </c>
      <c r="B32" s="145">
        <v>0</v>
      </c>
      <c r="C32" s="145">
        <v>0</v>
      </c>
      <c r="D32" s="145">
        <v>0</v>
      </c>
      <c r="E32" s="145">
        <v>0</v>
      </c>
      <c r="F32" s="145">
        <v>0</v>
      </c>
      <c r="G32" s="145">
        <f t="shared" si="4"/>
        <v>0</v>
      </c>
    </row>
    <row r="33" spans="1:8" x14ac:dyDescent="0.25">
      <c r="A33" s="63" t="s">
        <v>239</v>
      </c>
      <c r="B33" s="145">
        <v>0</v>
      </c>
      <c r="C33" s="145">
        <v>0</v>
      </c>
      <c r="D33" s="145">
        <v>0</v>
      </c>
      <c r="E33" s="145">
        <v>0</v>
      </c>
      <c r="F33" s="145">
        <v>0</v>
      </c>
      <c r="G33" s="145">
        <f t="shared" si="4"/>
        <v>0</v>
      </c>
    </row>
    <row r="34" spans="1:8" x14ac:dyDescent="0.25">
      <c r="A34" s="53" t="s">
        <v>240</v>
      </c>
      <c r="B34" s="145">
        <v>0</v>
      </c>
      <c r="C34" s="145">
        <v>0</v>
      </c>
      <c r="D34" s="145">
        <v>0</v>
      </c>
      <c r="E34" s="145">
        <v>0</v>
      </c>
      <c r="F34" s="145">
        <v>0</v>
      </c>
      <c r="G34" s="145">
        <f t="shared" si="4"/>
        <v>0</v>
      </c>
    </row>
    <row r="35" spans="1:8" x14ac:dyDescent="0.25">
      <c r="A35" s="53" t="s">
        <v>241</v>
      </c>
      <c r="B35" s="145">
        <f>B36</f>
        <v>1160854447</v>
      </c>
      <c r="C35" s="145">
        <f t="shared" ref="C35:F35" si="5">C36</f>
        <v>-138439663.71000001</v>
      </c>
      <c r="D35" s="145">
        <f t="shared" si="5"/>
        <v>1022414783.29</v>
      </c>
      <c r="E35" s="145">
        <f t="shared" si="5"/>
        <v>533304054</v>
      </c>
      <c r="F35" s="145">
        <f t="shared" si="5"/>
        <v>533304054</v>
      </c>
      <c r="G35" s="145">
        <f>G36</f>
        <v>-627550393</v>
      </c>
    </row>
    <row r="36" spans="1:8" x14ac:dyDescent="0.25">
      <c r="A36" s="63" t="s">
        <v>242</v>
      </c>
      <c r="B36" s="145">
        <v>1160854447</v>
      </c>
      <c r="C36" s="145">
        <v>-138439663.71000001</v>
      </c>
      <c r="D36" s="145">
        <v>1022414783.29</v>
      </c>
      <c r="E36" s="145">
        <v>533304054</v>
      </c>
      <c r="F36" s="145">
        <v>533304054</v>
      </c>
      <c r="G36" s="145">
        <v>-627550393</v>
      </c>
    </row>
    <row r="37" spans="1:8" x14ac:dyDescent="0.25">
      <c r="A37" s="53" t="s">
        <v>243</v>
      </c>
      <c r="B37" s="145">
        <f>B38+B39</f>
        <v>0</v>
      </c>
      <c r="C37" s="145">
        <f t="shared" ref="C37:G37" si="6">C38+C39</f>
        <v>0</v>
      </c>
      <c r="D37" s="145">
        <f t="shared" si="6"/>
        <v>0</v>
      </c>
      <c r="E37" s="145">
        <f t="shared" si="6"/>
        <v>0</v>
      </c>
      <c r="F37" s="145">
        <f t="shared" si="6"/>
        <v>0</v>
      </c>
      <c r="G37" s="145">
        <f t="shared" si="6"/>
        <v>0</v>
      </c>
    </row>
    <row r="38" spans="1:8" x14ac:dyDescent="0.25">
      <c r="A38" s="63" t="s">
        <v>244</v>
      </c>
      <c r="B38" s="145">
        <v>0</v>
      </c>
      <c r="C38" s="145">
        <v>0</v>
      </c>
      <c r="D38" s="145">
        <v>0</v>
      </c>
      <c r="E38" s="145">
        <v>0</v>
      </c>
      <c r="F38" s="145">
        <v>0</v>
      </c>
      <c r="G38" s="145">
        <f>F38-B38</f>
        <v>0</v>
      </c>
    </row>
    <row r="39" spans="1:8" x14ac:dyDescent="0.25">
      <c r="A39" s="63" t="s">
        <v>245</v>
      </c>
      <c r="B39" s="145">
        <v>0</v>
      </c>
      <c r="C39" s="145">
        <v>0</v>
      </c>
      <c r="D39" s="145">
        <v>0</v>
      </c>
      <c r="E39" s="145">
        <v>0</v>
      </c>
      <c r="F39" s="145">
        <v>0</v>
      </c>
      <c r="G39" s="145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1700707680.0138001</v>
      </c>
      <c r="C41" s="61">
        <f t="shared" ref="C41:E41" si="7">SUM(C9,C10,C11,C12,C13,C14,C15,C16,C28,C34,C35,C37)</f>
        <v>-138843838.84</v>
      </c>
      <c r="D41" s="61">
        <f t="shared" si="7"/>
        <v>1561863841.1738</v>
      </c>
      <c r="E41" s="61">
        <f t="shared" si="7"/>
        <v>778597136.41999996</v>
      </c>
      <c r="F41" s="61">
        <f>SUM(F9,F10,F11,F12,F13,F14,F15,F16,F28,F34,F35,F37)</f>
        <v>778597136.41999996</v>
      </c>
      <c r="G41" s="61">
        <f>SUM(G9,G10,G11,G12,G13,G14,G15,G16,G28,G34,G35,G37)</f>
        <v>-922110543.59380007</v>
      </c>
    </row>
    <row r="42" spans="1:8" x14ac:dyDescent="0.25">
      <c r="A42" s="55" t="s">
        <v>246</v>
      </c>
      <c r="B42" s="124"/>
      <c r="C42" s="124"/>
      <c r="D42" s="124"/>
      <c r="E42" s="124"/>
      <c r="F42" s="124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145">
        <f>SUM(B46:B53)</f>
        <v>23667568.73</v>
      </c>
      <c r="C45" s="145">
        <f t="shared" ref="C45:G45" si="8">SUM(C46:C53)</f>
        <v>5647242.9800000004</v>
      </c>
      <c r="D45" s="145">
        <f t="shared" si="8"/>
        <v>29314811.710000001</v>
      </c>
      <c r="E45" s="145">
        <f t="shared" si="8"/>
        <v>14626849.609999999</v>
      </c>
      <c r="F45" s="145">
        <f t="shared" si="8"/>
        <v>14626849.609999999</v>
      </c>
      <c r="G45" s="145">
        <f t="shared" si="8"/>
        <v>-9040719.120000001</v>
      </c>
    </row>
    <row r="46" spans="1:8" x14ac:dyDescent="0.25">
      <c r="A46" s="68" t="s">
        <v>249</v>
      </c>
      <c r="B46" s="145">
        <v>0</v>
      </c>
      <c r="C46" s="145">
        <v>0</v>
      </c>
      <c r="D46" s="145">
        <v>0</v>
      </c>
      <c r="E46" s="145">
        <v>0</v>
      </c>
      <c r="F46" s="145">
        <v>0</v>
      </c>
      <c r="G46" s="145">
        <f>F46-B46</f>
        <v>0</v>
      </c>
    </row>
    <row r="47" spans="1:8" x14ac:dyDescent="0.25">
      <c r="A47" s="68" t="s">
        <v>250</v>
      </c>
      <c r="B47" s="145">
        <v>0</v>
      </c>
      <c r="C47" s="145">
        <v>0</v>
      </c>
      <c r="D47" s="145">
        <v>0</v>
      </c>
      <c r="E47" s="145">
        <v>0</v>
      </c>
      <c r="F47" s="145">
        <v>0</v>
      </c>
      <c r="G47" s="145">
        <f t="shared" ref="G47:G53" si="9">F47-B47</f>
        <v>0</v>
      </c>
    </row>
    <row r="48" spans="1:8" x14ac:dyDescent="0.25">
      <c r="A48" s="68" t="s">
        <v>251</v>
      </c>
      <c r="B48" s="145">
        <v>0</v>
      </c>
      <c r="C48" s="145">
        <v>0</v>
      </c>
      <c r="D48" s="145">
        <v>0</v>
      </c>
      <c r="E48" s="145">
        <v>0</v>
      </c>
      <c r="F48" s="145">
        <v>0</v>
      </c>
      <c r="G48" s="145">
        <f t="shared" si="9"/>
        <v>0</v>
      </c>
    </row>
    <row r="49" spans="1:7" ht="30" x14ac:dyDescent="0.25">
      <c r="A49" s="68" t="s">
        <v>252</v>
      </c>
      <c r="B49" s="145">
        <v>0</v>
      </c>
      <c r="C49" s="145">
        <v>0</v>
      </c>
      <c r="D49" s="145">
        <v>0</v>
      </c>
      <c r="E49" s="145">
        <v>0</v>
      </c>
      <c r="F49" s="145">
        <v>0</v>
      </c>
      <c r="G49" s="145">
        <f t="shared" si="9"/>
        <v>0</v>
      </c>
    </row>
    <row r="50" spans="1:7" x14ac:dyDescent="0.25">
      <c r="A50" s="68" t="s">
        <v>253</v>
      </c>
      <c r="B50" s="145">
        <v>23667568.73</v>
      </c>
      <c r="C50" s="145">
        <v>5647242.9800000004</v>
      </c>
      <c r="D50" s="145">
        <v>29314811.710000001</v>
      </c>
      <c r="E50" s="145">
        <v>14626849.609999999</v>
      </c>
      <c r="F50" s="145">
        <v>14626849.609999999</v>
      </c>
      <c r="G50" s="145">
        <v>-9040719.120000001</v>
      </c>
    </row>
    <row r="51" spans="1:7" x14ac:dyDescent="0.25">
      <c r="A51" s="68" t="s">
        <v>254</v>
      </c>
      <c r="B51" s="145">
        <v>0</v>
      </c>
      <c r="C51" s="145">
        <v>0</v>
      </c>
      <c r="D51" s="145">
        <v>0</v>
      </c>
      <c r="E51" s="145">
        <v>0</v>
      </c>
      <c r="F51" s="145">
        <v>0</v>
      </c>
      <c r="G51" s="145">
        <f t="shared" si="9"/>
        <v>0</v>
      </c>
    </row>
    <row r="52" spans="1:7" x14ac:dyDescent="0.25">
      <c r="A52" s="48" t="s">
        <v>255</v>
      </c>
      <c r="B52" s="145">
        <v>0</v>
      </c>
      <c r="C52" s="145">
        <v>0</v>
      </c>
      <c r="D52" s="145">
        <v>0</v>
      </c>
      <c r="E52" s="145">
        <v>0</v>
      </c>
      <c r="F52" s="145">
        <v>0</v>
      </c>
      <c r="G52" s="145">
        <f t="shared" si="9"/>
        <v>0</v>
      </c>
    </row>
    <row r="53" spans="1:7" x14ac:dyDescent="0.25">
      <c r="A53" s="63" t="s">
        <v>256</v>
      </c>
      <c r="B53" s="145">
        <v>0</v>
      </c>
      <c r="C53" s="145">
        <v>0</v>
      </c>
      <c r="D53" s="145">
        <v>0</v>
      </c>
      <c r="E53" s="145">
        <v>0</v>
      </c>
      <c r="F53" s="145">
        <v>0</v>
      </c>
      <c r="G53" s="145">
        <f t="shared" si="9"/>
        <v>0</v>
      </c>
    </row>
    <row r="54" spans="1:7" x14ac:dyDescent="0.25">
      <c r="A54" s="53" t="s">
        <v>257</v>
      </c>
      <c r="B54" s="145">
        <f>SUM(B55:B58)</f>
        <v>0</v>
      </c>
      <c r="C54" s="145">
        <f t="shared" ref="C54:G54" si="10">SUM(C55:C58)</f>
        <v>0</v>
      </c>
      <c r="D54" s="145">
        <f t="shared" si="10"/>
        <v>0</v>
      </c>
      <c r="E54" s="145">
        <f t="shared" si="10"/>
        <v>0</v>
      </c>
      <c r="F54" s="145">
        <f t="shared" si="10"/>
        <v>0</v>
      </c>
      <c r="G54" s="145">
        <f t="shared" si="10"/>
        <v>0</v>
      </c>
    </row>
    <row r="55" spans="1:7" x14ac:dyDescent="0.25">
      <c r="A55" s="48" t="s">
        <v>258</v>
      </c>
      <c r="B55" s="145">
        <v>0</v>
      </c>
      <c r="C55" s="145">
        <v>0</v>
      </c>
      <c r="D55" s="145">
        <v>0</v>
      </c>
      <c r="E55" s="145">
        <v>0</v>
      </c>
      <c r="F55" s="145">
        <v>0</v>
      </c>
      <c r="G55" s="145">
        <f>F55-B55</f>
        <v>0</v>
      </c>
    </row>
    <row r="56" spans="1:7" x14ac:dyDescent="0.25">
      <c r="A56" s="68" t="s">
        <v>259</v>
      </c>
      <c r="B56" s="145">
        <v>0</v>
      </c>
      <c r="C56" s="145">
        <v>0</v>
      </c>
      <c r="D56" s="145">
        <v>0</v>
      </c>
      <c r="E56" s="145">
        <v>0</v>
      </c>
      <c r="F56" s="145">
        <v>0</v>
      </c>
      <c r="G56" s="145">
        <f t="shared" ref="G56:G58" si="11">F56-B56</f>
        <v>0</v>
      </c>
    </row>
    <row r="57" spans="1:7" x14ac:dyDescent="0.25">
      <c r="A57" s="68" t="s">
        <v>260</v>
      </c>
      <c r="B57" s="145">
        <v>0</v>
      </c>
      <c r="C57" s="145">
        <v>0</v>
      </c>
      <c r="D57" s="145">
        <v>0</v>
      </c>
      <c r="E57" s="145">
        <v>0</v>
      </c>
      <c r="F57" s="145">
        <v>0</v>
      </c>
      <c r="G57" s="145">
        <f t="shared" si="11"/>
        <v>0</v>
      </c>
    </row>
    <row r="58" spans="1:7" x14ac:dyDescent="0.25">
      <c r="A58" s="48" t="s">
        <v>261</v>
      </c>
      <c r="B58" s="145">
        <v>0</v>
      </c>
      <c r="C58" s="145">
        <v>0</v>
      </c>
      <c r="D58" s="145">
        <v>0</v>
      </c>
      <c r="E58" s="145">
        <v>0</v>
      </c>
      <c r="F58" s="145">
        <v>0</v>
      </c>
      <c r="G58" s="145">
        <f t="shared" si="11"/>
        <v>0</v>
      </c>
    </row>
    <row r="59" spans="1:7" x14ac:dyDescent="0.25">
      <c r="A59" s="53" t="s">
        <v>262</v>
      </c>
      <c r="B59" s="145">
        <f>SUM(B60:B61)</f>
        <v>0</v>
      </c>
      <c r="C59" s="145">
        <f t="shared" ref="C59:G59" si="12">SUM(C60:C61)</f>
        <v>0</v>
      </c>
      <c r="D59" s="145">
        <f t="shared" si="12"/>
        <v>0</v>
      </c>
      <c r="E59" s="145">
        <f t="shared" si="12"/>
        <v>0</v>
      </c>
      <c r="F59" s="145">
        <f t="shared" si="12"/>
        <v>0</v>
      </c>
      <c r="G59" s="145">
        <f t="shared" si="12"/>
        <v>0</v>
      </c>
    </row>
    <row r="60" spans="1:7" x14ac:dyDescent="0.25">
      <c r="A60" s="68" t="s">
        <v>263</v>
      </c>
      <c r="B60" s="145">
        <v>0</v>
      </c>
      <c r="C60" s="145">
        <v>0</v>
      </c>
      <c r="D60" s="145">
        <v>0</v>
      </c>
      <c r="E60" s="145">
        <v>0</v>
      </c>
      <c r="F60" s="145">
        <v>0</v>
      </c>
      <c r="G60" s="145">
        <f>F60-B60</f>
        <v>0</v>
      </c>
    </row>
    <row r="61" spans="1:7" x14ac:dyDescent="0.25">
      <c r="A61" s="68" t="s">
        <v>264</v>
      </c>
      <c r="B61" s="145">
        <v>0</v>
      </c>
      <c r="C61" s="145">
        <v>0</v>
      </c>
      <c r="D61" s="145">
        <v>0</v>
      </c>
      <c r="E61" s="145">
        <v>0</v>
      </c>
      <c r="F61" s="145">
        <v>0</v>
      </c>
      <c r="G61" s="145">
        <f>F61-B61</f>
        <v>0</v>
      </c>
    </row>
    <row r="62" spans="1:7" x14ac:dyDescent="0.25">
      <c r="A62" s="53" t="s">
        <v>265</v>
      </c>
      <c r="B62" s="145">
        <v>1860692107</v>
      </c>
      <c r="C62" s="145">
        <v>4543497.22</v>
      </c>
      <c r="D62" s="145">
        <v>1865235604.22</v>
      </c>
      <c r="E62" s="145">
        <v>995265000</v>
      </c>
      <c r="F62" s="145">
        <v>995265000</v>
      </c>
      <c r="G62" s="145">
        <v>-865427107</v>
      </c>
    </row>
    <row r="63" spans="1:7" x14ac:dyDescent="0.25">
      <c r="A63" s="53" t="s">
        <v>266</v>
      </c>
      <c r="B63" s="145">
        <v>106334497.20000005</v>
      </c>
      <c r="C63" s="145">
        <v>1999999.9999999991</v>
      </c>
      <c r="D63" s="145">
        <v>108334497.20000005</v>
      </c>
      <c r="E63" s="145">
        <v>5555044</v>
      </c>
      <c r="F63" s="145">
        <v>5555044</v>
      </c>
      <c r="G63" s="145">
        <v>-100779453.20000005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1990694172.9300001</v>
      </c>
      <c r="C65" s="61">
        <f t="shared" ref="C65:G65" si="13">C45+C54+C59+C62+C63</f>
        <v>12190740.199999999</v>
      </c>
      <c r="D65" s="61">
        <f t="shared" si="13"/>
        <v>2002884913.1300001</v>
      </c>
      <c r="E65" s="61">
        <f t="shared" si="13"/>
        <v>1015446893.61</v>
      </c>
      <c r="F65" s="61">
        <f t="shared" si="13"/>
        <v>1015446893.61</v>
      </c>
      <c r="G65" s="61">
        <f t="shared" si="13"/>
        <v>-975247279.32000005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4">C68</f>
        <v>0</v>
      </c>
      <c r="D67" s="61">
        <f t="shared" si="14"/>
        <v>0</v>
      </c>
      <c r="E67" s="61">
        <f t="shared" si="14"/>
        <v>0</v>
      </c>
      <c r="F67" s="61">
        <f t="shared" si="14"/>
        <v>0</v>
      </c>
      <c r="G67" s="61">
        <f t="shared" si="14"/>
        <v>0</v>
      </c>
    </row>
    <row r="68" spans="1:7" x14ac:dyDescent="0.25">
      <c r="A68" s="53" t="s">
        <v>269</v>
      </c>
      <c r="B68" s="145">
        <v>0</v>
      </c>
      <c r="C68" s="145">
        <v>0</v>
      </c>
      <c r="D68" s="145">
        <v>0</v>
      </c>
      <c r="E68" s="145">
        <v>0</v>
      </c>
      <c r="F68" s="145">
        <v>0</v>
      </c>
      <c r="G68" s="145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3691401852.9438</v>
      </c>
      <c r="C70" s="61">
        <f t="shared" ref="C70:G70" si="15">C41+C65+C67</f>
        <v>-126653098.64</v>
      </c>
      <c r="D70" s="61">
        <f t="shared" si="15"/>
        <v>3564748754.3038001</v>
      </c>
      <c r="E70" s="61">
        <f t="shared" si="15"/>
        <v>1794044030.03</v>
      </c>
      <c r="F70" s="61">
        <f t="shared" si="15"/>
        <v>1794044030.03</v>
      </c>
      <c r="G70" s="61">
        <f t="shared" si="15"/>
        <v>-1897357822.9138002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5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v>0</v>
      </c>
    </row>
    <row r="74" spans="1:7" ht="30" x14ac:dyDescent="0.25">
      <c r="A74" s="125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v>0</v>
      </c>
    </row>
    <row r="75" spans="1:7" x14ac:dyDescent="0.25">
      <c r="A75" s="116" t="s">
        <v>274</v>
      </c>
      <c r="B75" s="61">
        <f>B73+B74</f>
        <v>0</v>
      </c>
      <c r="C75" s="61">
        <f t="shared" ref="C75:G75" si="16">C73+C74</f>
        <v>0</v>
      </c>
      <c r="D75" s="61">
        <f t="shared" si="16"/>
        <v>0</v>
      </c>
      <c r="E75" s="61">
        <f t="shared" si="16"/>
        <v>0</v>
      </c>
      <c r="F75" s="61">
        <f t="shared" si="16"/>
        <v>0</v>
      </c>
      <c r="G75" s="61">
        <f t="shared" si="16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B00-000001000000}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45851676.830400005</v>
      </c>
      <c r="Q4" s="18">
        <f>'Formato 5'!C10</f>
        <v>0</v>
      </c>
      <c r="R4" s="18">
        <f>'Formato 5'!D10</f>
        <v>45851676.830400005</v>
      </c>
      <c r="S4" s="18">
        <f>'Formato 5'!E10</f>
        <v>23313794.990000002</v>
      </c>
      <c r="T4" s="18">
        <f>'Formato 5'!F10</f>
        <v>23313794.990000002</v>
      </c>
      <c r="U4" s="18">
        <f>'Formato 5'!G10</f>
        <v>-22537881.840400003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0</v>
      </c>
      <c r="Q7" s="18">
        <f>'Formato 5'!C13</f>
        <v>0</v>
      </c>
      <c r="R7" s="18">
        <f>'Formato 5'!D13</f>
        <v>0</v>
      </c>
      <c r="S7" s="18">
        <f>'Formato 5'!E13</f>
        <v>0</v>
      </c>
      <c r="T7" s="18">
        <f>'Formato 5'!F13</f>
        <v>0</v>
      </c>
      <c r="U7" s="18">
        <f>'Formato 5'!G13</f>
        <v>0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494001556.18340003</v>
      </c>
      <c r="Q9" s="18">
        <f>'Formato 5'!C15</f>
        <v>-404175.13</v>
      </c>
      <c r="R9" s="18">
        <f>'Formato 5'!D15</f>
        <v>493597381.05340004</v>
      </c>
      <c r="S9" s="18">
        <f>'Formato 5'!E15</f>
        <v>221979287.42999998</v>
      </c>
      <c r="T9" s="18">
        <f>'Formato 5'!F15</f>
        <v>221979287.42999998</v>
      </c>
      <c r="U9" s="18">
        <f>'Formato 5'!G15</f>
        <v>-272022268.75340009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1160854447</v>
      </c>
      <c r="Q29" s="18">
        <f>'Formato 5'!C35</f>
        <v>-138439663.71000001</v>
      </c>
      <c r="R29" s="18">
        <f>'Formato 5'!D35</f>
        <v>1022414783.29</v>
      </c>
      <c r="S29" s="18">
        <f>'Formato 5'!E35</f>
        <v>533304054</v>
      </c>
      <c r="T29" s="18">
        <f>'Formato 5'!F35</f>
        <v>533304054</v>
      </c>
      <c r="U29" s="18">
        <f>'Formato 5'!G35</f>
        <v>-627550393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1160854447</v>
      </c>
      <c r="Q30" s="18">
        <f>'Formato 5'!C36</f>
        <v>-138439663.71000001</v>
      </c>
      <c r="R30" s="18">
        <f>'Formato 5'!D36</f>
        <v>1022414783.29</v>
      </c>
      <c r="S30" s="18">
        <f>'Formato 5'!E36</f>
        <v>533304054</v>
      </c>
      <c r="T30" s="18">
        <f>'Formato 5'!F36</f>
        <v>533304054</v>
      </c>
      <c r="U30" s="18">
        <f>'Formato 5'!G36</f>
        <v>-627550393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1700707680.0138001</v>
      </c>
      <c r="Q34">
        <f>'Formato 5'!C41</f>
        <v>-138843838.84</v>
      </c>
      <c r="R34">
        <f>'Formato 5'!D41</f>
        <v>1561863841.1738</v>
      </c>
      <c r="S34">
        <f>'Formato 5'!E41</f>
        <v>778597136.41999996</v>
      </c>
      <c r="T34">
        <f>'Formato 5'!F41</f>
        <v>778597136.41999996</v>
      </c>
      <c r="U34">
        <f>'Formato 5'!G41</f>
        <v>-922110543.59380007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23667568.73</v>
      </c>
      <c r="Q37">
        <f>'Formato 5'!C45</f>
        <v>5647242.9800000004</v>
      </c>
      <c r="R37">
        <f>'Formato 5'!D45</f>
        <v>29314811.710000001</v>
      </c>
      <c r="S37">
        <f>'Formato 5'!E45</f>
        <v>14626849.609999999</v>
      </c>
      <c r="T37">
        <f>'Formato 5'!F45</f>
        <v>14626849.609999999</v>
      </c>
      <c r="U37">
        <f>'Formato 5'!G45</f>
        <v>-9040719.120000001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23667568.73</v>
      </c>
      <c r="Q42">
        <f>'Formato 5'!C50</f>
        <v>5647242.9800000004</v>
      </c>
      <c r="R42">
        <f>'Formato 5'!D50</f>
        <v>29314811.710000001</v>
      </c>
      <c r="S42">
        <f>'Formato 5'!E50</f>
        <v>14626849.609999999</v>
      </c>
      <c r="T42">
        <f>'Formato 5'!F50</f>
        <v>14626849.609999999</v>
      </c>
      <c r="U42">
        <f>'Formato 5'!G50</f>
        <v>-9040719.120000001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1860692107</v>
      </c>
      <c r="Q54">
        <f>'Formato 5'!C62</f>
        <v>4543497.22</v>
      </c>
      <c r="R54">
        <f>'Formato 5'!D62</f>
        <v>1865235604.22</v>
      </c>
      <c r="S54">
        <f>'Formato 5'!E62</f>
        <v>995265000</v>
      </c>
      <c r="T54">
        <f>'Formato 5'!F62</f>
        <v>995265000</v>
      </c>
      <c r="U54">
        <f>'Formato 5'!G62</f>
        <v>-865427107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106334497.20000005</v>
      </c>
      <c r="Q55">
        <f>'Formato 5'!C63</f>
        <v>1999999.9999999991</v>
      </c>
      <c r="R55">
        <f>'Formato 5'!D63</f>
        <v>108334497.20000005</v>
      </c>
      <c r="S55">
        <f>'Formato 5'!E63</f>
        <v>5555044</v>
      </c>
      <c r="T55">
        <f>'Formato 5'!F63</f>
        <v>5555044</v>
      </c>
      <c r="U55">
        <f>'Formato 5'!G63</f>
        <v>-100779453.20000005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1990694172.9300001</v>
      </c>
      <c r="Q56">
        <f>'Formato 5'!C65</f>
        <v>12190740.199999999</v>
      </c>
      <c r="R56">
        <f>'Formato 5'!D65</f>
        <v>2002884913.1300001</v>
      </c>
      <c r="S56">
        <f>'Formato 5'!E65</f>
        <v>1015446893.61</v>
      </c>
      <c r="T56">
        <f>'Formato 5'!F65</f>
        <v>1015446893.61</v>
      </c>
      <c r="U56">
        <f>'Formato 5'!G65</f>
        <v>-975247279.32000005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1"/>
  <dimension ref="A1:XFC161"/>
  <sheetViews>
    <sheetView zoomScale="80" zoomScaleNormal="80" zoomScalePageLayoutView="90" workbookViewId="0">
      <selection activeCell="B10" sqref="B10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4" t="s">
        <v>3285</v>
      </c>
      <c r="B1" s="173"/>
      <c r="C1" s="173"/>
      <c r="D1" s="173"/>
      <c r="E1" s="173"/>
      <c r="F1" s="173"/>
      <c r="G1" s="173"/>
    </row>
    <row r="2" spans="1:7" ht="14.25" x14ac:dyDescent="0.45">
      <c r="A2" s="177" t="str">
        <f>ENTE_PUBLICO_A</f>
        <v>Universidad de Guanajuato, Gobierno del Estado de Guanajuato (a)</v>
      </c>
      <c r="B2" s="177"/>
      <c r="C2" s="177"/>
      <c r="D2" s="177"/>
      <c r="E2" s="177"/>
      <c r="F2" s="177"/>
      <c r="G2" s="177"/>
    </row>
    <row r="3" spans="1:7" x14ac:dyDescent="0.25">
      <c r="A3" s="178" t="s">
        <v>277</v>
      </c>
      <c r="B3" s="178"/>
      <c r="C3" s="178"/>
      <c r="D3" s="178"/>
      <c r="E3" s="178"/>
      <c r="F3" s="178"/>
      <c r="G3" s="178"/>
    </row>
    <row r="4" spans="1:7" x14ac:dyDescent="0.25">
      <c r="A4" s="178" t="s">
        <v>278</v>
      </c>
      <c r="B4" s="178"/>
      <c r="C4" s="178"/>
      <c r="D4" s="178"/>
      <c r="E4" s="178"/>
      <c r="F4" s="178"/>
      <c r="G4" s="178"/>
    </row>
    <row r="5" spans="1:7" ht="14.25" x14ac:dyDescent="0.45">
      <c r="A5" s="179" t="str">
        <f>TRIMESTRE</f>
        <v>Del 1 de enero al 30 de marzo de 2020 (b)</v>
      </c>
      <c r="B5" s="179"/>
      <c r="C5" s="179"/>
      <c r="D5" s="179"/>
      <c r="E5" s="179"/>
      <c r="F5" s="179"/>
      <c r="G5" s="179"/>
    </row>
    <row r="6" spans="1:7" ht="14.25" x14ac:dyDescent="0.45">
      <c r="A6" s="171" t="s">
        <v>118</v>
      </c>
      <c r="B6" s="171"/>
      <c r="C6" s="171"/>
      <c r="D6" s="171"/>
      <c r="E6" s="171"/>
      <c r="F6" s="171"/>
      <c r="G6" s="171"/>
    </row>
    <row r="7" spans="1:7" ht="15" customHeight="1" x14ac:dyDescent="0.25">
      <c r="A7" s="175" t="s">
        <v>0</v>
      </c>
      <c r="B7" s="175" t="s">
        <v>279</v>
      </c>
      <c r="C7" s="175"/>
      <c r="D7" s="175"/>
      <c r="E7" s="175"/>
      <c r="F7" s="175"/>
      <c r="G7" s="176" t="s">
        <v>280</v>
      </c>
    </row>
    <row r="8" spans="1:7" ht="30" x14ac:dyDescent="0.25">
      <c r="A8" s="175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5"/>
    </row>
    <row r="9" spans="1:7" ht="14.25" x14ac:dyDescent="0.45">
      <c r="A9" s="79" t="s">
        <v>285</v>
      </c>
      <c r="B9" s="76">
        <f>SUM(B10,B18,B28,B38,B48,B58,B62,B71,B75)</f>
        <v>2001196837.2800002</v>
      </c>
      <c r="C9" s="76">
        <f t="shared" ref="C9:G9" si="0">SUM(C10,C18,C28,C38,C48,C58,C62,C71,C75)</f>
        <v>-77180056.360000014</v>
      </c>
      <c r="D9" s="76">
        <f t="shared" si="0"/>
        <v>1924016780.920001</v>
      </c>
      <c r="E9" s="76">
        <f t="shared" si="0"/>
        <v>607207051.64999998</v>
      </c>
      <c r="F9" s="76">
        <f t="shared" si="0"/>
        <v>573183754.04000008</v>
      </c>
      <c r="G9" s="76">
        <f t="shared" si="0"/>
        <v>1316809729.2700005</v>
      </c>
    </row>
    <row r="10" spans="1:7" x14ac:dyDescent="0.25">
      <c r="A10" s="80" t="s">
        <v>286</v>
      </c>
      <c r="B10" s="77">
        <f>SUM(B11:B17)</f>
        <v>1084079858.9400003</v>
      </c>
      <c r="C10" s="77">
        <f t="shared" ref="C10:F10" si="1">SUM(C11:C17)</f>
        <v>19735130.479999974</v>
      </c>
      <c r="D10" s="77">
        <f t="shared" si="1"/>
        <v>1103814989.4200006</v>
      </c>
      <c r="E10" s="77">
        <f t="shared" si="1"/>
        <v>469750680.95000005</v>
      </c>
      <c r="F10" s="77">
        <f t="shared" si="1"/>
        <v>460326355.23000002</v>
      </c>
      <c r="G10" s="77">
        <f>SUM(G11:G17)</f>
        <v>634064308.47000039</v>
      </c>
    </row>
    <row r="11" spans="1:7" x14ac:dyDescent="0.25">
      <c r="A11" s="81" t="s">
        <v>287</v>
      </c>
      <c r="B11" s="77">
        <v>217122542.63000017</v>
      </c>
      <c r="C11" s="77">
        <v>-1470473.61</v>
      </c>
      <c r="D11" s="77">
        <v>215652069.02000016</v>
      </c>
      <c r="E11" s="77">
        <v>106629656.33000001</v>
      </c>
      <c r="F11" s="77">
        <v>106529448.44000001</v>
      </c>
      <c r="G11" s="77">
        <f>D11-E11</f>
        <v>109022412.69000015</v>
      </c>
    </row>
    <row r="12" spans="1:7" x14ac:dyDescent="0.25">
      <c r="A12" s="81" t="s">
        <v>288</v>
      </c>
      <c r="B12" s="77">
        <v>267696386.4899998</v>
      </c>
      <c r="C12" s="77">
        <v>42188880.649999976</v>
      </c>
      <c r="D12" s="77">
        <v>309885267.1400001</v>
      </c>
      <c r="E12" s="77">
        <v>119968179.38000003</v>
      </c>
      <c r="F12" s="77">
        <v>119737387.76000002</v>
      </c>
      <c r="G12" s="77">
        <f>D12-E12</f>
        <v>189917087.76000008</v>
      </c>
    </row>
    <row r="13" spans="1:7" x14ac:dyDescent="0.25">
      <c r="A13" s="81" t="s">
        <v>289</v>
      </c>
      <c r="B13" s="77">
        <v>119180432.96000007</v>
      </c>
      <c r="C13" s="77">
        <v>906424.58</v>
      </c>
      <c r="D13" s="77">
        <v>120086857.54000014</v>
      </c>
      <c r="E13" s="77">
        <v>39515428.660000041</v>
      </c>
      <c r="F13" s="77">
        <v>39503558.77000007</v>
      </c>
      <c r="G13" s="77">
        <f t="shared" ref="G13:G17" si="2">D13-E13</f>
        <v>80571428.8800001</v>
      </c>
    </row>
    <row r="14" spans="1:7" x14ac:dyDescent="0.25">
      <c r="A14" s="81" t="s">
        <v>290</v>
      </c>
      <c r="B14" s="77">
        <v>130918506.94000003</v>
      </c>
      <c r="C14" s="77">
        <v>-215457.18000000011</v>
      </c>
      <c r="D14" s="77">
        <v>130703049.76000005</v>
      </c>
      <c r="E14" s="77">
        <v>58673726.689999998</v>
      </c>
      <c r="F14" s="77">
        <v>58546980.460000001</v>
      </c>
      <c r="G14" s="77">
        <f t="shared" si="2"/>
        <v>72029323.070000052</v>
      </c>
    </row>
    <row r="15" spans="1:7" x14ac:dyDescent="0.25">
      <c r="A15" s="81" t="s">
        <v>291</v>
      </c>
      <c r="B15" s="77">
        <v>250308732.84000021</v>
      </c>
      <c r="C15" s="77">
        <v>-31131678.829999998</v>
      </c>
      <c r="D15" s="77">
        <v>219177054.00999993</v>
      </c>
      <c r="E15" s="77">
        <v>86772499.60999994</v>
      </c>
      <c r="F15" s="77">
        <v>77819200.939999878</v>
      </c>
      <c r="G15" s="77">
        <f t="shared" si="2"/>
        <v>132404554.39999999</v>
      </c>
    </row>
    <row r="16" spans="1:7" x14ac:dyDescent="0.25">
      <c r="A16" s="81" t="s">
        <v>292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f t="shared" si="2"/>
        <v>0</v>
      </c>
    </row>
    <row r="17" spans="1:7" x14ac:dyDescent="0.25">
      <c r="A17" s="81" t="s">
        <v>293</v>
      </c>
      <c r="B17" s="77">
        <v>98853257.080000028</v>
      </c>
      <c r="C17" s="77">
        <v>9457434.8699999992</v>
      </c>
      <c r="D17" s="77">
        <v>108310691.94999993</v>
      </c>
      <c r="E17" s="77">
        <v>58191190.280000009</v>
      </c>
      <c r="F17" s="77">
        <v>58189778.860000007</v>
      </c>
      <c r="G17" s="77">
        <f t="shared" si="2"/>
        <v>50119501.66999992</v>
      </c>
    </row>
    <row r="18" spans="1:7" x14ac:dyDescent="0.25">
      <c r="A18" s="80" t="s">
        <v>294</v>
      </c>
      <c r="B18" s="77">
        <f>SUM(B19:B27)</f>
        <v>63409981.56000001</v>
      </c>
      <c r="C18" s="77">
        <f t="shared" ref="C18:F18" si="3">SUM(C19:C27)</f>
        <v>52617779.650000021</v>
      </c>
      <c r="D18" s="77">
        <f t="shared" si="3"/>
        <v>116027761.21000002</v>
      </c>
      <c r="E18" s="77">
        <f t="shared" si="3"/>
        <v>14505188.539999994</v>
      </c>
      <c r="F18" s="77">
        <f t="shared" si="3"/>
        <v>13207901.089999996</v>
      </c>
      <c r="G18" s="77">
        <f>SUM(G19:G27)</f>
        <v>101522572.67000003</v>
      </c>
    </row>
    <row r="19" spans="1:7" x14ac:dyDescent="0.25">
      <c r="A19" s="81" t="s">
        <v>295</v>
      </c>
      <c r="B19" s="77">
        <v>19694632.34</v>
      </c>
      <c r="C19" s="77">
        <v>40239628.470000021</v>
      </c>
      <c r="D19" s="77">
        <v>59934260.810000002</v>
      </c>
      <c r="E19" s="77">
        <v>3489327.8499999973</v>
      </c>
      <c r="F19" s="77">
        <v>3209171.3199999966</v>
      </c>
      <c r="G19" s="77">
        <f>D19-E19</f>
        <v>56444932.960000008</v>
      </c>
    </row>
    <row r="20" spans="1:7" x14ac:dyDescent="0.25">
      <c r="A20" s="81" t="s">
        <v>296</v>
      </c>
      <c r="B20" s="77">
        <v>8199060.3900000025</v>
      </c>
      <c r="C20" s="77">
        <v>221768.23000000021</v>
      </c>
      <c r="D20" s="77">
        <v>8420828.6199999992</v>
      </c>
      <c r="E20" s="77">
        <v>1855670.0899999996</v>
      </c>
      <c r="F20" s="77">
        <v>1779720.1699999995</v>
      </c>
      <c r="G20" s="77">
        <f t="shared" ref="G20:G27" si="4">D20-E20</f>
        <v>6565158.5299999993</v>
      </c>
    </row>
    <row r="21" spans="1:7" x14ac:dyDescent="0.25">
      <c r="A21" s="81" t="s">
        <v>297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f t="shared" si="4"/>
        <v>0</v>
      </c>
    </row>
    <row r="22" spans="1:7" x14ac:dyDescent="0.25">
      <c r="A22" s="81" t="s">
        <v>298</v>
      </c>
      <c r="B22" s="77">
        <v>6915815.5600000015</v>
      </c>
      <c r="C22" s="77">
        <v>1123770.0900000001</v>
      </c>
      <c r="D22" s="77">
        <v>8039585.6500000032</v>
      </c>
      <c r="E22" s="77">
        <v>1081013.44</v>
      </c>
      <c r="F22" s="77">
        <v>969679.42</v>
      </c>
      <c r="G22" s="77">
        <f t="shared" si="4"/>
        <v>6958572.2100000028</v>
      </c>
    </row>
    <row r="23" spans="1:7" x14ac:dyDescent="0.25">
      <c r="A23" s="81" t="s">
        <v>299</v>
      </c>
      <c r="B23" s="77">
        <v>10121481.98</v>
      </c>
      <c r="C23" s="77">
        <v>9314306.7899999991</v>
      </c>
      <c r="D23" s="77">
        <v>19435788.770000003</v>
      </c>
      <c r="E23" s="77">
        <v>5129509.4999999981</v>
      </c>
      <c r="F23" s="77">
        <v>4626386.1700000009</v>
      </c>
      <c r="G23" s="77">
        <f t="shared" si="4"/>
        <v>14306279.270000005</v>
      </c>
    </row>
    <row r="24" spans="1:7" x14ac:dyDescent="0.25">
      <c r="A24" s="81" t="s">
        <v>300</v>
      </c>
      <c r="B24" s="77">
        <v>7064606.8800000008</v>
      </c>
      <c r="C24" s="77">
        <v>218405.86000000013</v>
      </c>
      <c r="D24" s="77">
        <v>7283012.7400000002</v>
      </c>
      <c r="E24" s="77">
        <v>1517410.8499999992</v>
      </c>
      <c r="F24" s="77">
        <v>1497947.8599999996</v>
      </c>
      <c r="G24" s="77">
        <f t="shared" si="4"/>
        <v>5765601.8900000006</v>
      </c>
    </row>
    <row r="25" spans="1:7" x14ac:dyDescent="0.25">
      <c r="A25" s="81" t="s">
        <v>301</v>
      </c>
      <c r="B25" s="77">
        <v>9644257.4700000007</v>
      </c>
      <c r="C25" s="77">
        <v>875764.75999999989</v>
      </c>
      <c r="D25" s="77">
        <v>10520022.23</v>
      </c>
      <c r="E25" s="77">
        <v>871674.5299999998</v>
      </c>
      <c r="F25" s="77">
        <v>658604.7699999999</v>
      </c>
      <c r="G25" s="77">
        <f t="shared" si="4"/>
        <v>9648347.7000000011</v>
      </c>
    </row>
    <row r="26" spans="1:7" x14ac:dyDescent="0.25">
      <c r="A26" s="81" t="s">
        <v>302</v>
      </c>
      <c r="B26" s="77">
        <v>0</v>
      </c>
      <c r="C26" s="77">
        <v>0</v>
      </c>
      <c r="D26" s="77">
        <v>0</v>
      </c>
      <c r="E26" s="77">
        <v>0</v>
      </c>
      <c r="F26" s="77">
        <v>0</v>
      </c>
      <c r="G26" s="77">
        <f t="shared" si="4"/>
        <v>0</v>
      </c>
    </row>
    <row r="27" spans="1:7" x14ac:dyDescent="0.25">
      <c r="A27" s="81" t="s">
        <v>303</v>
      </c>
      <c r="B27" s="77">
        <v>1770126.94</v>
      </c>
      <c r="C27" s="77">
        <v>624135.44999999984</v>
      </c>
      <c r="D27" s="77">
        <v>2394262.3900000006</v>
      </c>
      <c r="E27" s="77">
        <v>560582.2799999998</v>
      </c>
      <c r="F27" s="77">
        <v>466391.37999999983</v>
      </c>
      <c r="G27" s="77">
        <f t="shared" si="4"/>
        <v>1833680.1100000008</v>
      </c>
    </row>
    <row r="28" spans="1:7" x14ac:dyDescent="0.25">
      <c r="A28" s="80" t="s">
        <v>304</v>
      </c>
      <c r="B28" s="77">
        <f>SUM(B29:B37)</f>
        <v>302193711.92000008</v>
      </c>
      <c r="C28" s="77">
        <f t="shared" ref="C28:G28" si="5">SUM(C29:C37)</f>
        <v>43011443.960000001</v>
      </c>
      <c r="D28" s="77">
        <f t="shared" si="5"/>
        <v>345205155.88</v>
      </c>
      <c r="E28" s="77">
        <f t="shared" si="5"/>
        <v>61013623.480000004</v>
      </c>
      <c r="F28" s="77">
        <f t="shared" si="5"/>
        <v>39637727.910000011</v>
      </c>
      <c r="G28" s="77">
        <f t="shared" si="5"/>
        <v>284191532.40000004</v>
      </c>
    </row>
    <row r="29" spans="1:7" x14ac:dyDescent="0.25">
      <c r="A29" s="81" t="s">
        <v>305</v>
      </c>
      <c r="B29" s="77">
        <v>10436788.4</v>
      </c>
      <c r="C29" s="77">
        <v>1646345.4500000004</v>
      </c>
      <c r="D29" s="77">
        <v>12083133.850000003</v>
      </c>
      <c r="E29" s="77">
        <v>4056653.2300000004</v>
      </c>
      <c r="F29" s="77">
        <v>3703952.7600000007</v>
      </c>
      <c r="G29" s="77">
        <f>D29-E29</f>
        <v>8026480.6200000029</v>
      </c>
    </row>
    <row r="30" spans="1:7" x14ac:dyDescent="0.25">
      <c r="A30" s="81" t="s">
        <v>306</v>
      </c>
      <c r="B30" s="77">
        <v>27857609.629999995</v>
      </c>
      <c r="C30" s="77">
        <v>63880.29</v>
      </c>
      <c r="D30" s="77">
        <v>27921489.920000006</v>
      </c>
      <c r="E30" s="77">
        <v>5284539.7800000012</v>
      </c>
      <c r="F30" s="77">
        <v>4903059.3600000003</v>
      </c>
      <c r="G30" s="77">
        <f t="shared" ref="G30:G37" si="6">D30-E30</f>
        <v>22636950.140000004</v>
      </c>
    </row>
    <row r="31" spans="1:7" x14ac:dyDescent="0.25">
      <c r="A31" s="81" t="s">
        <v>307</v>
      </c>
      <c r="B31" s="77">
        <v>52245112.210000001</v>
      </c>
      <c r="C31" s="77">
        <v>32248251.739999998</v>
      </c>
      <c r="D31" s="77">
        <v>84493363.950000033</v>
      </c>
      <c r="E31" s="77">
        <v>8248172.870000001</v>
      </c>
      <c r="F31" s="77">
        <v>7952555.9300000016</v>
      </c>
      <c r="G31" s="77">
        <f t="shared" si="6"/>
        <v>76245191.080000028</v>
      </c>
    </row>
    <row r="32" spans="1:7" x14ac:dyDescent="0.25">
      <c r="A32" s="81" t="s">
        <v>308</v>
      </c>
      <c r="B32" s="77">
        <v>9014471.1600000001</v>
      </c>
      <c r="C32" s="77">
        <v>5212558.49</v>
      </c>
      <c r="D32" s="77">
        <v>14227029.649999999</v>
      </c>
      <c r="E32" s="77">
        <v>2991029.39</v>
      </c>
      <c r="F32" s="77">
        <v>2991029.39</v>
      </c>
      <c r="G32" s="77">
        <f t="shared" si="6"/>
        <v>11236000.259999998</v>
      </c>
    </row>
    <row r="33" spans="1:7" x14ac:dyDescent="0.25">
      <c r="A33" s="81" t="s">
        <v>309</v>
      </c>
      <c r="B33" s="77">
        <v>79055277.359999999</v>
      </c>
      <c r="C33" s="77">
        <v>15553745.550000003</v>
      </c>
      <c r="D33" s="77">
        <v>94609022.909999996</v>
      </c>
      <c r="E33" s="77">
        <v>13607269.500000006</v>
      </c>
      <c r="F33" s="77">
        <v>13278658.840000005</v>
      </c>
      <c r="G33" s="77">
        <f t="shared" si="6"/>
        <v>81001753.409999996</v>
      </c>
    </row>
    <row r="34" spans="1:7" x14ac:dyDescent="0.25">
      <c r="A34" s="81" t="s">
        <v>310</v>
      </c>
      <c r="B34" s="77">
        <v>15683056.93</v>
      </c>
      <c r="C34" s="77">
        <v>-5173444.4400000004</v>
      </c>
      <c r="D34" s="77">
        <v>10509612.49</v>
      </c>
      <c r="E34" s="77">
        <v>1746268.4900000002</v>
      </c>
      <c r="F34" s="77">
        <v>1632968.9200000002</v>
      </c>
      <c r="G34" s="77">
        <f t="shared" si="6"/>
        <v>8763344</v>
      </c>
    </row>
    <row r="35" spans="1:7" x14ac:dyDescent="0.25">
      <c r="A35" s="81" t="s">
        <v>311</v>
      </c>
      <c r="B35" s="77">
        <v>28375414.879999995</v>
      </c>
      <c r="C35" s="77">
        <v>-4328807.950000003</v>
      </c>
      <c r="D35" s="77">
        <v>24046606.93</v>
      </c>
      <c r="E35" s="77">
        <v>1836041.7999999996</v>
      </c>
      <c r="F35" s="77">
        <v>1784234.3999999997</v>
      </c>
      <c r="G35" s="77">
        <f t="shared" si="6"/>
        <v>22210565.129999999</v>
      </c>
    </row>
    <row r="36" spans="1:7" x14ac:dyDescent="0.25">
      <c r="A36" s="81" t="s">
        <v>312</v>
      </c>
      <c r="B36" s="77">
        <v>35569304.549999997</v>
      </c>
      <c r="C36" s="77">
        <v>-2546971.6400000015</v>
      </c>
      <c r="D36" s="77">
        <v>33022332.909999996</v>
      </c>
      <c r="E36" s="77">
        <v>3510240.9999999986</v>
      </c>
      <c r="F36" s="77">
        <v>3283366.9999999986</v>
      </c>
      <c r="G36" s="77">
        <f t="shared" si="6"/>
        <v>29512091.909999996</v>
      </c>
    </row>
    <row r="37" spans="1:7" x14ac:dyDescent="0.25">
      <c r="A37" s="81" t="s">
        <v>313</v>
      </c>
      <c r="B37" s="77">
        <v>43956676.800000042</v>
      </c>
      <c r="C37" s="77">
        <v>335886.47000000003</v>
      </c>
      <c r="D37" s="77">
        <v>44292563.270000011</v>
      </c>
      <c r="E37" s="77">
        <v>19733407.419999991</v>
      </c>
      <c r="F37" s="77">
        <v>107901.31</v>
      </c>
      <c r="G37" s="77">
        <f t="shared" si="6"/>
        <v>24559155.85000002</v>
      </c>
    </row>
    <row r="38" spans="1:7" x14ac:dyDescent="0.25">
      <c r="A38" s="80" t="s">
        <v>314</v>
      </c>
      <c r="B38" s="77">
        <f>SUM(B39:B47)</f>
        <v>104057716.83</v>
      </c>
      <c r="C38" s="77">
        <f>SUM(C39:C47)</f>
        <v>10052653.850000005</v>
      </c>
      <c r="D38" s="77">
        <f t="shared" ref="D38:G38" si="7">SUM(D39:D47)</f>
        <v>114110370.68000001</v>
      </c>
      <c r="E38" s="77">
        <f t="shared" si="7"/>
        <v>33304203.920000002</v>
      </c>
      <c r="F38" s="77">
        <f t="shared" si="7"/>
        <v>31812108.48</v>
      </c>
      <c r="G38" s="77">
        <f t="shared" si="7"/>
        <v>80806166.760000005</v>
      </c>
    </row>
    <row r="39" spans="1:7" x14ac:dyDescent="0.25">
      <c r="A39" s="81" t="s">
        <v>315</v>
      </c>
      <c r="B39" s="77">
        <v>0</v>
      </c>
      <c r="C39" s="77">
        <v>0</v>
      </c>
      <c r="D39" s="77">
        <v>0</v>
      </c>
      <c r="E39" s="77">
        <v>0</v>
      </c>
      <c r="F39" s="77">
        <v>0</v>
      </c>
      <c r="G39" s="77">
        <f>D39-E39</f>
        <v>0</v>
      </c>
    </row>
    <row r="40" spans="1:7" x14ac:dyDescent="0.25">
      <c r="A40" s="81" t="s">
        <v>316</v>
      </c>
      <c r="B40" s="77">
        <v>0</v>
      </c>
      <c r="C40" s="77">
        <v>0</v>
      </c>
      <c r="D40" s="77">
        <v>0</v>
      </c>
      <c r="E40" s="77">
        <v>0</v>
      </c>
      <c r="F40" s="77">
        <v>0</v>
      </c>
      <c r="G40" s="77">
        <f t="shared" ref="G40:G47" si="8">D40-E40</f>
        <v>0</v>
      </c>
    </row>
    <row r="41" spans="1:7" x14ac:dyDescent="0.25">
      <c r="A41" s="81" t="s">
        <v>317</v>
      </c>
      <c r="B41" s="77">
        <v>0</v>
      </c>
      <c r="C41" s="77">
        <v>0</v>
      </c>
      <c r="D41" s="77">
        <v>0</v>
      </c>
      <c r="E41" s="77">
        <v>0</v>
      </c>
      <c r="F41" s="77">
        <v>0</v>
      </c>
      <c r="G41" s="77">
        <f t="shared" si="8"/>
        <v>0</v>
      </c>
    </row>
    <row r="42" spans="1:7" x14ac:dyDescent="0.25">
      <c r="A42" s="81" t="s">
        <v>318</v>
      </c>
      <c r="B42" s="77">
        <v>103967716.83</v>
      </c>
      <c r="C42" s="77">
        <v>10052653.850000005</v>
      </c>
      <c r="D42" s="77">
        <v>114020370.68000001</v>
      </c>
      <c r="E42" s="77">
        <v>33304203.920000002</v>
      </c>
      <c r="F42" s="77">
        <v>31812108.48</v>
      </c>
      <c r="G42" s="77">
        <f t="shared" si="8"/>
        <v>80716166.760000005</v>
      </c>
    </row>
    <row r="43" spans="1:7" x14ac:dyDescent="0.25">
      <c r="A43" s="81" t="s">
        <v>319</v>
      </c>
      <c r="B43" s="77">
        <v>0</v>
      </c>
      <c r="C43" s="77">
        <v>0</v>
      </c>
      <c r="D43" s="77">
        <v>0</v>
      </c>
      <c r="E43" s="77">
        <v>0</v>
      </c>
      <c r="F43" s="77">
        <v>0</v>
      </c>
      <c r="G43" s="77">
        <f t="shared" si="8"/>
        <v>0</v>
      </c>
    </row>
    <row r="44" spans="1:7" x14ac:dyDescent="0.25">
      <c r="A44" s="81" t="s">
        <v>320</v>
      </c>
      <c r="B44" s="77">
        <v>0</v>
      </c>
      <c r="C44" s="77">
        <v>0</v>
      </c>
      <c r="D44" s="77">
        <v>0</v>
      </c>
      <c r="E44" s="77">
        <v>0</v>
      </c>
      <c r="F44" s="77">
        <v>0</v>
      </c>
      <c r="G44" s="77">
        <f t="shared" si="8"/>
        <v>0</v>
      </c>
    </row>
    <row r="45" spans="1:7" x14ac:dyDescent="0.25">
      <c r="A45" s="81" t="s">
        <v>321</v>
      </c>
      <c r="B45" s="77">
        <v>0</v>
      </c>
      <c r="C45" s="77">
        <v>0</v>
      </c>
      <c r="D45" s="77">
        <v>0</v>
      </c>
      <c r="E45" s="77">
        <v>0</v>
      </c>
      <c r="F45" s="77">
        <v>0</v>
      </c>
      <c r="G45" s="77">
        <f t="shared" si="8"/>
        <v>0</v>
      </c>
    </row>
    <row r="46" spans="1:7" x14ac:dyDescent="0.25">
      <c r="A46" s="81" t="s">
        <v>322</v>
      </c>
      <c r="B46" s="24">
        <v>90000</v>
      </c>
      <c r="C46" s="24">
        <v>0</v>
      </c>
      <c r="D46" s="24">
        <v>90000</v>
      </c>
      <c r="E46" s="24">
        <v>0</v>
      </c>
      <c r="F46" s="24">
        <v>0</v>
      </c>
      <c r="G46" s="77">
        <f t="shared" si="8"/>
        <v>90000</v>
      </c>
    </row>
    <row r="47" spans="1:7" x14ac:dyDescent="0.25">
      <c r="A47" s="81" t="s">
        <v>323</v>
      </c>
      <c r="B47" s="77">
        <v>0</v>
      </c>
      <c r="C47" s="77">
        <v>0</v>
      </c>
      <c r="D47" s="77">
        <v>0</v>
      </c>
      <c r="E47" s="77">
        <v>0</v>
      </c>
      <c r="F47" s="77">
        <v>0</v>
      </c>
      <c r="G47" s="77">
        <f t="shared" si="8"/>
        <v>0</v>
      </c>
    </row>
    <row r="48" spans="1:7" x14ac:dyDescent="0.25">
      <c r="A48" s="80" t="s">
        <v>324</v>
      </c>
      <c r="B48" s="77">
        <f>SUM(B49:B57)</f>
        <v>213706768.25</v>
      </c>
      <c r="C48" s="77">
        <f t="shared" ref="C48:G48" si="9">SUM(C49:C57)</f>
        <v>-41127667.150000013</v>
      </c>
      <c r="D48" s="77">
        <f t="shared" si="9"/>
        <v>172579101.10000002</v>
      </c>
      <c r="E48" s="77">
        <f t="shared" si="9"/>
        <v>14487375.050000001</v>
      </c>
      <c r="F48" s="77">
        <f t="shared" si="9"/>
        <v>14053681.620000003</v>
      </c>
      <c r="G48" s="77">
        <f t="shared" si="9"/>
        <v>158091726.05000001</v>
      </c>
    </row>
    <row r="49" spans="1:7" x14ac:dyDescent="0.25">
      <c r="A49" s="81" t="s">
        <v>325</v>
      </c>
      <c r="B49" s="77">
        <v>116826179.29000001</v>
      </c>
      <c r="C49" s="77">
        <v>-43597532.550000012</v>
      </c>
      <c r="D49" s="77">
        <v>73228646.74000001</v>
      </c>
      <c r="E49" s="77">
        <v>5494824.0200000014</v>
      </c>
      <c r="F49" s="77">
        <v>5384160.1400000006</v>
      </c>
      <c r="G49" s="77">
        <f>D49-E49</f>
        <v>67733822.720000014</v>
      </c>
    </row>
    <row r="50" spans="1:7" x14ac:dyDescent="0.25">
      <c r="A50" s="81" t="s">
        <v>326</v>
      </c>
      <c r="B50" s="77">
        <v>6998261.3100000005</v>
      </c>
      <c r="C50" s="77">
        <v>4386498.2600000007</v>
      </c>
      <c r="D50" s="77">
        <v>11384759.570000002</v>
      </c>
      <c r="E50" s="77">
        <v>2844676.88</v>
      </c>
      <c r="F50" s="77">
        <v>2750625.89</v>
      </c>
      <c r="G50" s="77">
        <f t="shared" ref="G50:G57" si="10">D50-E50</f>
        <v>8540082.6900000013</v>
      </c>
    </row>
    <row r="51" spans="1:7" x14ac:dyDescent="0.25">
      <c r="A51" s="81" t="s">
        <v>327</v>
      </c>
      <c r="B51" s="77">
        <v>64071487.920000002</v>
      </c>
      <c r="C51" s="77">
        <v>-7376599.3399999971</v>
      </c>
      <c r="D51" s="77">
        <v>56694888.579999991</v>
      </c>
      <c r="E51" s="77">
        <v>3079478.6599999997</v>
      </c>
      <c r="F51" s="77">
        <v>2932049.1399999997</v>
      </c>
      <c r="G51" s="77">
        <f t="shared" si="10"/>
        <v>53615409.919999994</v>
      </c>
    </row>
    <row r="52" spans="1:7" x14ac:dyDescent="0.25">
      <c r="A52" s="81" t="s">
        <v>328</v>
      </c>
      <c r="B52" s="77">
        <v>11555700</v>
      </c>
      <c r="C52" s="77">
        <v>323270.81999999995</v>
      </c>
      <c r="D52" s="77">
        <v>11878970.820000002</v>
      </c>
      <c r="E52" s="77">
        <v>0</v>
      </c>
      <c r="F52" s="77">
        <v>0</v>
      </c>
      <c r="G52" s="77">
        <f t="shared" si="10"/>
        <v>11878970.820000002</v>
      </c>
    </row>
    <row r="53" spans="1:7" x14ac:dyDescent="0.25">
      <c r="A53" s="81" t="s">
        <v>329</v>
      </c>
      <c r="B53" s="77">
        <v>0</v>
      </c>
      <c r="C53" s="77">
        <v>0</v>
      </c>
      <c r="D53" s="77">
        <v>0</v>
      </c>
      <c r="E53" s="77">
        <v>0</v>
      </c>
      <c r="F53" s="77">
        <v>0</v>
      </c>
      <c r="G53" s="77">
        <f t="shared" si="10"/>
        <v>0</v>
      </c>
    </row>
    <row r="54" spans="1:7" x14ac:dyDescent="0.25">
      <c r="A54" s="81" t="s">
        <v>330</v>
      </c>
      <c r="B54" s="77">
        <v>13611265.73</v>
      </c>
      <c r="C54" s="77">
        <v>4950548.9099999983</v>
      </c>
      <c r="D54" s="77">
        <v>18561814.640000004</v>
      </c>
      <c r="E54" s="77">
        <v>2921350.27</v>
      </c>
      <c r="F54" s="77">
        <v>2839801.23</v>
      </c>
      <c r="G54" s="77">
        <f t="shared" si="10"/>
        <v>15640464.370000005</v>
      </c>
    </row>
    <row r="55" spans="1:7" x14ac:dyDescent="0.25">
      <c r="A55" s="81" t="s">
        <v>331</v>
      </c>
      <c r="B55" s="77">
        <v>0</v>
      </c>
      <c r="C55" s="77">
        <v>0</v>
      </c>
      <c r="D55" s="77">
        <v>0</v>
      </c>
      <c r="E55" s="77">
        <v>0</v>
      </c>
      <c r="F55" s="77">
        <v>0</v>
      </c>
      <c r="G55" s="77">
        <f t="shared" si="10"/>
        <v>0</v>
      </c>
    </row>
    <row r="56" spans="1:7" x14ac:dyDescent="0.25">
      <c r="A56" s="81" t="s">
        <v>332</v>
      </c>
      <c r="B56" s="77">
        <v>0</v>
      </c>
      <c r="C56" s="77">
        <v>0</v>
      </c>
      <c r="D56" s="77">
        <v>0</v>
      </c>
      <c r="E56" s="77">
        <v>0</v>
      </c>
      <c r="F56" s="77">
        <v>0</v>
      </c>
      <c r="G56" s="77">
        <f t="shared" si="10"/>
        <v>0</v>
      </c>
    </row>
    <row r="57" spans="1:7" x14ac:dyDescent="0.25">
      <c r="A57" s="81" t="s">
        <v>333</v>
      </c>
      <c r="B57" s="77">
        <v>643874</v>
      </c>
      <c r="C57" s="77">
        <v>186146.75</v>
      </c>
      <c r="D57" s="77">
        <v>830020.75</v>
      </c>
      <c r="E57" s="77">
        <v>147045.22</v>
      </c>
      <c r="F57" s="77">
        <v>147045.22</v>
      </c>
      <c r="G57" s="77">
        <f t="shared" si="10"/>
        <v>682975.53</v>
      </c>
    </row>
    <row r="58" spans="1:7" x14ac:dyDescent="0.25">
      <c r="A58" s="80" t="s">
        <v>334</v>
      </c>
      <c r="B58" s="77">
        <f>SUM(B59:B61)</f>
        <v>233748799.78</v>
      </c>
      <c r="C58" s="77">
        <f t="shared" ref="C58:G58" si="11">SUM(C59:C61)</f>
        <v>-161469397.15000001</v>
      </c>
      <c r="D58" s="77">
        <f t="shared" si="11"/>
        <v>72279402.63000001</v>
      </c>
      <c r="E58" s="77">
        <f t="shared" si="11"/>
        <v>14145979.709999999</v>
      </c>
      <c r="F58" s="77">
        <f t="shared" si="11"/>
        <v>14145979.709999999</v>
      </c>
      <c r="G58" s="77">
        <f t="shared" si="11"/>
        <v>58133422.920000009</v>
      </c>
    </row>
    <row r="59" spans="1:7" x14ac:dyDescent="0.25">
      <c r="A59" s="81" t="s">
        <v>335</v>
      </c>
      <c r="B59" s="77">
        <v>0</v>
      </c>
      <c r="C59" s="77">
        <v>0</v>
      </c>
      <c r="D59" s="77">
        <v>0</v>
      </c>
      <c r="E59" s="77">
        <v>0</v>
      </c>
      <c r="F59" s="77">
        <v>0</v>
      </c>
      <c r="G59" s="77">
        <f>D59-E59</f>
        <v>0</v>
      </c>
    </row>
    <row r="60" spans="1:7" x14ac:dyDescent="0.25">
      <c r="A60" s="81" t="s">
        <v>336</v>
      </c>
      <c r="B60" s="77">
        <v>233748799.78</v>
      </c>
      <c r="C60" s="77">
        <v>-161469397.15000001</v>
      </c>
      <c r="D60" s="77">
        <v>72279402.63000001</v>
      </c>
      <c r="E60" s="77">
        <v>14145979.709999999</v>
      </c>
      <c r="F60" s="77">
        <v>14145979.709999999</v>
      </c>
      <c r="G60" s="77">
        <f t="shared" ref="G60:G61" si="12">D60-E60</f>
        <v>58133422.920000009</v>
      </c>
    </row>
    <row r="61" spans="1:7" x14ac:dyDescent="0.25">
      <c r="A61" s="81" t="s">
        <v>337</v>
      </c>
      <c r="B61" s="77">
        <v>0</v>
      </c>
      <c r="C61" s="77">
        <v>0</v>
      </c>
      <c r="D61" s="77">
        <v>0</v>
      </c>
      <c r="E61" s="77">
        <v>0</v>
      </c>
      <c r="F61" s="77">
        <v>0</v>
      </c>
      <c r="G61" s="77">
        <f t="shared" si="12"/>
        <v>0</v>
      </c>
    </row>
    <row r="62" spans="1:7" x14ac:dyDescent="0.25">
      <c r="A62" s="80" t="s">
        <v>338</v>
      </c>
      <c r="B62" s="77">
        <f>SUM(B63:B67,B69:B70)</f>
        <v>0</v>
      </c>
      <c r="C62" s="77">
        <f t="shared" ref="C62:G62" si="13">SUM(C63:C67,C69:C70)</f>
        <v>0</v>
      </c>
      <c r="D62" s="77">
        <f t="shared" si="13"/>
        <v>0</v>
      </c>
      <c r="E62" s="77">
        <f t="shared" si="13"/>
        <v>0</v>
      </c>
      <c r="F62" s="77">
        <f t="shared" si="13"/>
        <v>0</v>
      </c>
      <c r="G62" s="77">
        <f t="shared" si="13"/>
        <v>0</v>
      </c>
    </row>
    <row r="63" spans="1:7" x14ac:dyDescent="0.25">
      <c r="A63" s="81" t="s">
        <v>339</v>
      </c>
      <c r="B63" s="77">
        <v>0</v>
      </c>
      <c r="C63" s="77">
        <v>0</v>
      </c>
      <c r="D63" s="77">
        <v>0</v>
      </c>
      <c r="E63" s="77">
        <v>0</v>
      </c>
      <c r="F63" s="77">
        <v>0</v>
      </c>
      <c r="G63" s="77">
        <f>D63-E63</f>
        <v>0</v>
      </c>
    </row>
    <row r="64" spans="1:7" x14ac:dyDescent="0.25">
      <c r="A64" s="81" t="s">
        <v>340</v>
      </c>
      <c r="B64" s="77">
        <v>0</v>
      </c>
      <c r="C64" s="77">
        <v>0</v>
      </c>
      <c r="D64" s="77">
        <v>0</v>
      </c>
      <c r="E64" s="77">
        <v>0</v>
      </c>
      <c r="F64" s="77">
        <v>0</v>
      </c>
      <c r="G64" s="77">
        <f t="shared" ref="G64:G70" si="14">D64-E64</f>
        <v>0</v>
      </c>
    </row>
    <row r="65" spans="1:7" x14ac:dyDescent="0.25">
      <c r="A65" s="81" t="s">
        <v>341</v>
      </c>
      <c r="B65" s="77">
        <v>0</v>
      </c>
      <c r="C65" s="77">
        <v>0</v>
      </c>
      <c r="D65" s="77">
        <v>0</v>
      </c>
      <c r="E65" s="77">
        <v>0</v>
      </c>
      <c r="F65" s="77">
        <v>0</v>
      </c>
      <c r="G65" s="77">
        <f t="shared" si="14"/>
        <v>0</v>
      </c>
    </row>
    <row r="66" spans="1:7" x14ac:dyDescent="0.25">
      <c r="A66" s="81" t="s">
        <v>342</v>
      </c>
      <c r="B66" s="77">
        <v>0</v>
      </c>
      <c r="C66" s="77">
        <v>0</v>
      </c>
      <c r="D66" s="77">
        <v>0</v>
      </c>
      <c r="E66" s="77">
        <v>0</v>
      </c>
      <c r="F66" s="77">
        <v>0</v>
      </c>
      <c r="G66" s="77">
        <f t="shared" si="14"/>
        <v>0</v>
      </c>
    </row>
    <row r="67" spans="1:7" x14ac:dyDescent="0.25">
      <c r="A67" s="81" t="s">
        <v>343</v>
      </c>
      <c r="B67" s="77">
        <v>0</v>
      </c>
      <c r="C67" s="77">
        <v>0</v>
      </c>
      <c r="D67" s="77">
        <v>0</v>
      </c>
      <c r="E67" s="77">
        <v>0</v>
      </c>
      <c r="F67" s="77">
        <v>0</v>
      </c>
      <c r="G67" s="77">
        <f t="shared" si="14"/>
        <v>0</v>
      </c>
    </row>
    <row r="68" spans="1:7" x14ac:dyDescent="0.25">
      <c r="A68" s="81" t="s">
        <v>3301</v>
      </c>
      <c r="B68" s="77">
        <v>0</v>
      </c>
      <c r="C68" s="77">
        <v>0</v>
      </c>
      <c r="D68" s="77">
        <v>0</v>
      </c>
      <c r="E68" s="77">
        <v>0</v>
      </c>
      <c r="F68" s="77">
        <v>0</v>
      </c>
      <c r="G68" s="77">
        <f t="shared" si="14"/>
        <v>0</v>
      </c>
    </row>
    <row r="69" spans="1:7" x14ac:dyDescent="0.25">
      <c r="A69" s="81" t="s">
        <v>345</v>
      </c>
      <c r="B69" s="77">
        <v>0</v>
      </c>
      <c r="C69" s="77">
        <v>0</v>
      </c>
      <c r="D69" s="77">
        <v>0</v>
      </c>
      <c r="E69" s="77">
        <v>0</v>
      </c>
      <c r="F69" s="77">
        <v>0</v>
      </c>
      <c r="G69" s="77">
        <f t="shared" si="14"/>
        <v>0</v>
      </c>
    </row>
    <row r="70" spans="1:7" x14ac:dyDescent="0.25">
      <c r="A70" s="81" t="s">
        <v>346</v>
      </c>
      <c r="B70" s="77">
        <v>0</v>
      </c>
      <c r="C70" s="77">
        <v>0</v>
      </c>
      <c r="D70" s="77">
        <v>0</v>
      </c>
      <c r="E70" s="77">
        <v>0</v>
      </c>
      <c r="F70" s="77">
        <v>0</v>
      </c>
      <c r="G70" s="77">
        <f t="shared" si="14"/>
        <v>0</v>
      </c>
    </row>
    <row r="71" spans="1:7" x14ac:dyDescent="0.25">
      <c r="A71" s="80" t="s">
        <v>347</v>
      </c>
      <c r="B71" s="77">
        <f>SUM(B72:B74)</f>
        <v>0</v>
      </c>
      <c r="C71" s="77">
        <f t="shared" ref="C71:G71" si="15">SUM(C72:C74)</f>
        <v>0</v>
      </c>
      <c r="D71" s="77">
        <f t="shared" si="15"/>
        <v>0</v>
      </c>
      <c r="E71" s="77">
        <f t="shared" si="15"/>
        <v>0</v>
      </c>
      <c r="F71" s="77">
        <f t="shared" si="15"/>
        <v>0</v>
      </c>
      <c r="G71" s="77">
        <f t="shared" si="15"/>
        <v>0</v>
      </c>
    </row>
    <row r="72" spans="1:7" x14ac:dyDescent="0.25">
      <c r="A72" s="81" t="s">
        <v>348</v>
      </c>
      <c r="B72" s="77">
        <v>0</v>
      </c>
      <c r="C72" s="77">
        <v>0</v>
      </c>
      <c r="D72" s="77">
        <v>0</v>
      </c>
      <c r="E72" s="77">
        <v>0</v>
      </c>
      <c r="F72" s="77">
        <v>0</v>
      </c>
      <c r="G72" s="77">
        <f>D72-E72</f>
        <v>0</v>
      </c>
    </row>
    <row r="73" spans="1:7" x14ac:dyDescent="0.25">
      <c r="A73" s="81" t="s">
        <v>349</v>
      </c>
      <c r="B73" s="77">
        <v>0</v>
      </c>
      <c r="C73" s="77">
        <v>0</v>
      </c>
      <c r="D73" s="77">
        <v>0</v>
      </c>
      <c r="E73" s="77">
        <v>0</v>
      </c>
      <c r="F73" s="77">
        <v>0</v>
      </c>
      <c r="G73" s="77">
        <f t="shared" ref="G73:G74" si="16">D73-E73</f>
        <v>0</v>
      </c>
    </row>
    <row r="74" spans="1:7" x14ac:dyDescent="0.25">
      <c r="A74" s="81" t="s">
        <v>350</v>
      </c>
      <c r="B74" s="77">
        <v>0</v>
      </c>
      <c r="C74" s="77">
        <v>0</v>
      </c>
      <c r="D74" s="77">
        <v>0</v>
      </c>
      <c r="E74" s="77">
        <v>0</v>
      </c>
      <c r="F74" s="77">
        <v>0</v>
      </c>
      <c r="G74" s="77">
        <f t="shared" si="16"/>
        <v>0</v>
      </c>
    </row>
    <row r="75" spans="1:7" x14ac:dyDescent="0.25">
      <c r="A75" s="80" t="s">
        <v>351</v>
      </c>
      <c r="B75" s="77">
        <f>SUM(B76:B82)</f>
        <v>0</v>
      </c>
      <c r="C75" s="77">
        <f t="shared" ref="C75:G75" si="17">SUM(C76:C82)</f>
        <v>0</v>
      </c>
      <c r="D75" s="77">
        <f t="shared" si="17"/>
        <v>0</v>
      </c>
      <c r="E75" s="77">
        <f t="shared" si="17"/>
        <v>0</v>
      </c>
      <c r="F75" s="77">
        <f t="shared" si="17"/>
        <v>0</v>
      </c>
      <c r="G75" s="77">
        <f t="shared" si="17"/>
        <v>0</v>
      </c>
    </row>
    <row r="76" spans="1:7" x14ac:dyDescent="0.25">
      <c r="A76" s="81" t="s">
        <v>352</v>
      </c>
      <c r="B76" s="77">
        <v>0</v>
      </c>
      <c r="C76" s="77">
        <v>0</v>
      </c>
      <c r="D76" s="77">
        <v>0</v>
      </c>
      <c r="E76" s="77">
        <v>0</v>
      </c>
      <c r="F76" s="77">
        <v>0</v>
      </c>
      <c r="G76" s="77">
        <f>D76-E76</f>
        <v>0</v>
      </c>
    </row>
    <row r="77" spans="1:7" x14ac:dyDescent="0.25">
      <c r="A77" s="81" t="s">
        <v>353</v>
      </c>
      <c r="B77" s="77">
        <v>0</v>
      </c>
      <c r="C77" s="77">
        <v>0</v>
      </c>
      <c r="D77" s="77">
        <v>0</v>
      </c>
      <c r="E77" s="77">
        <v>0</v>
      </c>
      <c r="F77" s="77">
        <v>0</v>
      </c>
      <c r="G77" s="77">
        <f t="shared" ref="G77:G82" si="18">D77-E77</f>
        <v>0</v>
      </c>
    </row>
    <row r="78" spans="1:7" x14ac:dyDescent="0.25">
      <c r="A78" s="81" t="s">
        <v>354</v>
      </c>
      <c r="B78" s="77">
        <v>0</v>
      </c>
      <c r="C78" s="77">
        <v>0</v>
      </c>
      <c r="D78" s="77">
        <v>0</v>
      </c>
      <c r="E78" s="77">
        <v>0</v>
      </c>
      <c r="F78" s="77">
        <v>0</v>
      </c>
      <c r="G78" s="77">
        <f t="shared" si="18"/>
        <v>0</v>
      </c>
    </row>
    <row r="79" spans="1:7" x14ac:dyDescent="0.25">
      <c r="A79" s="81" t="s">
        <v>355</v>
      </c>
      <c r="B79" s="77">
        <v>0</v>
      </c>
      <c r="C79" s="77">
        <v>0</v>
      </c>
      <c r="D79" s="77">
        <v>0</v>
      </c>
      <c r="E79" s="77">
        <v>0</v>
      </c>
      <c r="F79" s="77">
        <v>0</v>
      </c>
      <c r="G79" s="77">
        <f t="shared" si="18"/>
        <v>0</v>
      </c>
    </row>
    <row r="80" spans="1:7" x14ac:dyDescent="0.25">
      <c r="A80" s="81" t="s">
        <v>356</v>
      </c>
      <c r="B80" s="77">
        <v>0</v>
      </c>
      <c r="C80" s="77">
        <v>0</v>
      </c>
      <c r="D80" s="77">
        <v>0</v>
      </c>
      <c r="E80" s="77">
        <v>0</v>
      </c>
      <c r="F80" s="77">
        <v>0</v>
      </c>
      <c r="G80" s="77">
        <f t="shared" si="18"/>
        <v>0</v>
      </c>
    </row>
    <row r="81" spans="1:7" x14ac:dyDescent="0.25">
      <c r="A81" s="81" t="s">
        <v>357</v>
      </c>
      <c r="B81" s="77">
        <v>0</v>
      </c>
      <c r="C81" s="77">
        <v>0</v>
      </c>
      <c r="D81" s="77">
        <v>0</v>
      </c>
      <c r="E81" s="77">
        <v>0</v>
      </c>
      <c r="F81" s="77">
        <v>0</v>
      </c>
      <c r="G81" s="77">
        <f t="shared" si="18"/>
        <v>0</v>
      </c>
    </row>
    <row r="82" spans="1:7" x14ac:dyDescent="0.25">
      <c r="A82" s="81" t="s">
        <v>358</v>
      </c>
      <c r="B82" s="77">
        <v>0</v>
      </c>
      <c r="C82" s="77">
        <v>0</v>
      </c>
      <c r="D82" s="77">
        <v>0</v>
      </c>
      <c r="E82" s="77">
        <v>0</v>
      </c>
      <c r="F82" s="77">
        <v>0</v>
      </c>
      <c r="G82" s="77">
        <f t="shared" si="18"/>
        <v>0</v>
      </c>
    </row>
    <row r="83" spans="1:7" x14ac:dyDescent="0.25">
      <c r="A83" s="82"/>
      <c r="B83" s="78"/>
      <c r="C83" s="78"/>
      <c r="D83" s="78"/>
      <c r="E83" s="78"/>
      <c r="F83" s="78"/>
      <c r="G83" s="78"/>
    </row>
    <row r="84" spans="1:7" x14ac:dyDescent="0.25">
      <c r="A84" s="83" t="s">
        <v>359</v>
      </c>
      <c r="B84" s="76">
        <f>SUM(B85,B93,B103,B113,B123,B133,B137,B146,B150)</f>
        <v>2005919172.71</v>
      </c>
      <c r="C84" s="76">
        <f t="shared" ref="C84:G84" si="19">SUM(C85,C93,C103,C113,C123,C133,C137,C146,C150)</f>
        <v>118758783.98999995</v>
      </c>
      <c r="D84" s="76">
        <f t="shared" si="19"/>
        <v>2124677956.7000005</v>
      </c>
      <c r="E84" s="76">
        <f t="shared" si="19"/>
        <v>855067805.32000041</v>
      </c>
      <c r="F84" s="76">
        <f t="shared" si="19"/>
        <v>847347634.50000083</v>
      </c>
      <c r="G84" s="76">
        <f t="shared" si="19"/>
        <v>1269610151.3800004</v>
      </c>
    </row>
    <row r="85" spans="1:7" x14ac:dyDescent="0.25">
      <c r="A85" s="80" t="s">
        <v>286</v>
      </c>
      <c r="B85" s="77">
        <f>SUM(B86:B92)</f>
        <v>1787651320.47</v>
      </c>
      <c r="C85" s="77">
        <f t="shared" ref="C85:G85" si="20">SUM(C86:C92)</f>
        <v>-1035220.9300000602</v>
      </c>
      <c r="D85" s="77">
        <f t="shared" si="20"/>
        <v>1786616099.5400007</v>
      </c>
      <c r="E85" s="77">
        <f t="shared" si="20"/>
        <v>808101588.40000045</v>
      </c>
      <c r="F85" s="77">
        <f t="shared" si="20"/>
        <v>801997589.20000076</v>
      </c>
      <c r="G85" s="77">
        <f t="shared" si="20"/>
        <v>978514511.1400001</v>
      </c>
    </row>
    <row r="86" spans="1:7" x14ac:dyDescent="0.25">
      <c r="A86" s="81" t="s">
        <v>287</v>
      </c>
      <c r="B86" s="77">
        <v>490463555.50999981</v>
      </c>
      <c r="C86" s="77">
        <v>1680885.450000003</v>
      </c>
      <c r="D86" s="77">
        <v>492144440.96000022</v>
      </c>
      <c r="E86" s="77">
        <v>247235797.71999994</v>
      </c>
      <c r="F86" s="77">
        <v>247222842.06999996</v>
      </c>
      <c r="G86" s="77">
        <f>D86-E86</f>
        <v>244908643.24000028</v>
      </c>
    </row>
    <row r="87" spans="1:7" x14ac:dyDescent="0.25">
      <c r="A87" s="81" t="s">
        <v>288</v>
      </c>
      <c r="B87" s="77">
        <v>29023255.43</v>
      </c>
      <c r="C87" s="77">
        <v>11184950.710000001</v>
      </c>
      <c r="D87" s="77">
        <v>40208206.139999993</v>
      </c>
      <c r="E87" s="77">
        <v>32184786.800000001</v>
      </c>
      <c r="F87" s="77">
        <v>32184786.189999998</v>
      </c>
      <c r="G87" s="77">
        <f t="shared" ref="G87:G92" si="21">D87-E87</f>
        <v>8023419.3399999924</v>
      </c>
    </row>
    <row r="88" spans="1:7" x14ac:dyDescent="0.25">
      <c r="A88" s="81" t="s">
        <v>289</v>
      </c>
      <c r="B88" s="77">
        <v>229008695.17999956</v>
      </c>
      <c r="C88" s="77">
        <v>9399070.6699999943</v>
      </c>
      <c r="D88" s="77">
        <v>238407765.84999982</v>
      </c>
      <c r="E88" s="77">
        <v>71917206.660000011</v>
      </c>
      <c r="F88" s="77">
        <v>71883291.870000064</v>
      </c>
      <c r="G88" s="77">
        <f t="shared" si="21"/>
        <v>166490559.18999982</v>
      </c>
    </row>
    <row r="89" spans="1:7" x14ac:dyDescent="0.25">
      <c r="A89" s="81" t="s">
        <v>290</v>
      </c>
      <c r="B89" s="77">
        <v>261584106.17999998</v>
      </c>
      <c r="C89" s="77">
        <v>2952078.67</v>
      </c>
      <c r="D89" s="77">
        <v>264536184.84999996</v>
      </c>
      <c r="E89" s="77">
        <v>112608649.88</v>
      </c>
      <c r="F89" s="77">
        <v>111372257.76000002</v>
      </c>
      <c r="G89" s="77">
        <f t="shared" si="21"/>
        <v>151927534.96999997</v>
      </c>
    </row>
    <row r="90" spans="1:7" x14ac:dyDescent="0.25">
      <c r="A90" s="81" t="s">
        <v>291</v>
      </c>
      <c r="B90" s="77">
        <v>551009622.65000033</v>
      </c>
      <c r="C90" s="77">
        <v>-22449676.77999999</v>
      </c>
      <c r="D90" s="77">
        <v>528559945.87000048</v>
      </c>
      <c r="E90" s="77">
        <v>239698554.89000043</v>
      </c>
      <c r="F90" s="77">
        <v>234877819.15000054</v>
      </c>
      <c r="G90" s="77">
        <f t="shared" si="21"/>
        <v>288861390.98000002</v>
      </c>
    </row>
    <row r="91" spans="1:7" x14ac:dyDescent="0.25">
      <c r="A91" s="81" t="s">
        <v>292</v>
      </c>
      <c r="B91" s="77">
        <v>0</v>
      </c>
      <c r="C91" s="77">
        <v>0</v>
      </c>
      <c r="D91" s="77">
        <v>0</v>
      </c>
      <c r="E91" s="77">
        <v>0</v>
      </c>
      <c r="F91" s="77">
        <v>0</v>
      </c>
      <c r="G91" s="77">
        <f t="shared" si="21"/>
        <v>0</v>
      </c>
    </row>
    <row r="92" spans="1:7" x14ac:dyDescent="0.25">
      <c r="A92" s="81" t="s">
        <v>293</v>
      </c>
      <c r="B92" s="77">
        <v>226562085.52000016</v>
      </c>
      <c r="C92" s="77">
        <v>-3802529.6500000702</v>
      </c>
      <c r="D92" s="77">
        <v>222759555.87000015</v>
      </c>
      <c r="E92" s="77">
        <v>104456592.45000003</v>
      </c>
      <c r="F92" s="77">
        <v>104456592.16000004</v>
      </c>
      <c r="G92" s="77">
        <f t="shared" si="21"/>
        <v>118302963.42000012</v>
      </c>
    </row>
    <row r="93" spans="1:7" x14ac:dyDescent="0.25">
      <c r="A93" s="80" t="s">
        <v>294</v>
      </c>
      <c r="B93" s="77">
        <f>SUM(B94:B102)</f>
        <v>61029740.469999991</v>
      </c>
      <c r="C93" s="77">
        <f>SUM(C94:C102)</f>
        <v>13494072.659999996</v>
      </c>
      <c r="D93" s="77">
        <f>SUM(D94:D102)</f>
        <v>74523813.129999995</v>
      </c>
      <c r="E93" s="77">
        <f>SUM(E94:E102)</f>
        <v>15733518.300000001</v>
      </c>
      <c r="F93" s="77">
        <f>SUM(F94:F102)</f>
        <v>15016689.969999995</v>
      </c>
      <c r="G93" s="77">
        <f t="shared" ref="G93" si="22">SUM(G94:G102)</f>
        <v>58790294.829999998</v>
      </c>
    </row>
    <row r="94" spans="1:7" x14ac:dyDescent="0.25">
      <c r="A94" s="81" t="s">
        <v>295</v>
      </c>
      <c r="B94" s="77">
        <v>16160960.009999996</v>
      </c>
      <c r="C94" s="77">
        <v>6595530.2699999921</v>
      </c>
      <c r="D94" s="77">
        <v>22756490.279999986</v>
      </c>
      <c r="E94" s="77">
        <v>5349194.6199999992</v>
      </c>
      <c r="F94" s="77">
        <v>5090322.3699999973</v>
      </c>
      <c r="G94" s="77">
        <f t="shared" ref="G94:G102" si="23">D94-E94</f>
        <v>17407295.659999989</v>
      </c>
    </row>
    <row r="95" spans="1:7" x14ac:dyDescent="0.25">
      <c r="A95" s="81" t="s">
        <v>296</v>
      </c>
      <c r="B95" s="77">
        <v>5543746</v>
      </c>
      <c r="C95" s="77">
        <v>-381692.6100000001</v>
      </c>
      <c r="D95" s="77">
        <v>5162053.3900000006</v>
      </c>
      <c r="E95" s="77">
        <v>1493930.2599999998</v>
      </c>
      <c r="F95" s="77">
        <v>1466977.9899999995</v>
      </c>
      <c r="G95" s="77">
        <f t="shared" si="23"/>
        <v>3668123.1300000008</v>
      </c>
    </row>
    <row r="96" spans="1:7" x14ac:dyDescent="0.25">
      <c r="A96" s="81" t="s">
        <v>297</v>
      </c>
      <c r="B96" s="77">
        <v>0</v>
      </c>
      <c r="C96" s="77">
        <v>0</v>
      </c>
      <c r="D96" s="77">
        <v>0</v>
      </c>
      <c r="E96" s="77">
        <v>0</v>
      </c>
      <c r="F96" s="77">
        <v>0</v>
      </c>
      <c r="G96" s="77">
        <f t="shared" si="23"/>
        <v>0</v>
      </c>
    </row>
    <row r="97" spans="1:7" x14ac:dyDescent="0.25">
      <c r="A97" s="81" t="s">
        <v>298</v>
      </c>
      <c r="B97" s="77">
        <v>3096950.2500000005</v>
      </c>
      <c r="C97" s="77">
        <v>875754.79999999993</v>
      </c>
      <c r="D97" s="77">
        <v>3972705.0499999993</v>
      </c>
      <c r="E97" s="77">
        <v>1715393.3100000005</v>
      </c>
      <c r="F97" s="77">
        <v>1609761.7200000002</v>
      </c>
      <c r="G97" s="77">
        <f t="shared" si="23"/>
        <v>2257311.7399999988</v>
      </c>
    </row>
    <row r="98" spans="1:7" x14ac:dyDescent="0.25">
      <c r="A98" s="42" t="s">
        <v>299</v>
      </c>
      <c r="B98" s="77">
        <v>21904432.120000001</v>
      </c>
      <c r="C98" s="77">
        <v>6077101.8600000041</v>
      </c>
      <c r="D98" s="77">
        <v>27981533.980000004</v>
      </c>
      <c r="E98" s="77">
        <v>2693541.1199999987</v>
      </c>
      <c r="F98" s="77">
        <v>2499156.5699999994</v>
      </c>
      <c r="G98" s="77">
        <f t="shared" si="23"/>
        <v>25287992.860000007</v>
      </c>
    </row>
    <row r="99" spans="1:7" x14ac:dyDescent="0.25">
      <c r="A99" s="81" t="s">
        <v>300</v>
      </c>
      <c r="B99" s="77">
        <v>9813646.1399999987</v>
      </c>
      <c r="C99" s="77">
        <v>-571015.08000000042</v>
      </c>
      <c r="D99" s="77">
        <v>9242631.0600000042</v>
      </c>
      <c r="E99" s="77">
        <v>2599544.5500000007</v>
      </c>
      <c r="F99" s="77">
        <v>2578061.4800000004</v>
      </c>
      <c r="G99" s="77">
        <f t="shared" si="23"/>
        <v>6643086.5100000035</v>
      </c>
    </row>
    <row r="100" spans="1:7" x14ac:dyDescent="0.25">
      <c r="A100" s="81" t="s">
        <v>301</v>
      </c>
      <c r="B100" s="77">
        <v>298516.89999999997</v>
      </c>
      <c r="C100" s="77">
        <v>627412.62999999989</v>
      </c>
      <c r="D100" s="77">
        <v>925929.52999999991</v>
      </c>
      <c r="E100" s="77">
        <v>467710.98000000004</v>
      </c>
      <c r="F100" s="77">
        <v>452684.69</v>
      </c>
      <c r="G100" s="77">
        <f t="shared" si="23"/>
        <v>458218.54999999987</v>
      </c>
    </row>
    <row r="101" spans="1:7" x14ac:dyDescent="0.25">
      <c r="A101" s="81" t="s">
        <v>302</v>
      </c>
      <c r="B101" s="77">
        <v>0</v>
      </c>
      <c r="C101" s="77">
        <v>0</v>
      </c>
      <c r="D101" s="77">
        <v>0</v>
      </c>
      <c r="E101" s="77">
        <v>0</v>
      </c>
      <c r="F101" s="77">
        <v>0</v>
      </c>
      <c r="G101" s="77">
        <f t="shared" si="23"/>
        <v>0</v>
      </c>
    </row>
    <row r="102" spans="1:7" x14ac:dyDescent="0.25">
      <c r="A102" s="81" t="s">
        <v>303</v>
      </c>
      <c r="B102" s="77">
        <v>4211489.05</v>
      </c>
      <c r="C102" s="77">
        <v>270980.78999999998</v>
      </c>
      <c r="D102" s="77">
        <v>4482469.839999998</v>
      </c>
      <c r="E102" s="77">
        <v>1414203.46</v>
      </c>
      <c r="F102" s="77">
        <v>1319725.1499999999</v>
      </c>
      <c r="G102" s="77">
        <f t="shared" si="23"/>
        <v>3068266.379999998</v>
      </c>
    </row>
    <row r="103" spans="1:7" x14ac:dyDescent="0.25">
      <c r="A103" s="80" t="s">
        <v>304</v>
      </c>
      <c r="B103" s="77">
        <f>SUM(B104:B112)</f>
        <v>77756530.539999977</v>
      </c>
      <c r="C103" s="77">
        <f>SUM(C104:C112)</f>
        <v>35824320.459999993</v>
      </c>
      <c r="D103" s="77">
        <f t="shared" ref="D103:G103" si="24">SUM(D104:D112)</f>
        <v>113580851</v>
      </c>
      <c r="E103" s="77">
        <f t="shared" si="24"/>
        <v>19908170.689999998</v>
      </c>
      <c r="F103" s="77">
        <f t="shared" si="24"/>
        <v>19614376.199999999</v>
      </c>
      <c r="G103" s="77">
        <f t="shared" si="24"/>
        <v>93672680.309999987</v>
      </c>
    </row>
    <row r="104" spans="1:7" x14ac:dyDescent="0.25">
      <c r="A104" s="81" t="s">
        <v>305</v>
      </c>
      <c r="B104" s="77">
        <v>38215073.329999991</v>
      </c>
      <c r="C104" s="77">
        <v>-1063043.4000000004</v>
      </c>
      <c r="D104" s="77">
        <v>37152029.93</v>
      </c>
      <c r="E104" s="77">
        <v>12710376.749999998</v>
      </c>
      <c r="F104" s="77">
        <v>12605054.559999999</v>
      </c>
      <c r="G104" s="77">
        <f>D104-E104</f>
        <v>24441653.18</v>
      </c>
    </row>
    <row r="105" spans="1:7" x14ac:dyDescent="0.25">
      <c r="A105" s="81" t="s">
        <v>306</v>
      </c>
      <c r="B105" s="77">
        <v>14149399.970000001</v>
      </c>
      <c r="C105" s="77">
        <v>122376.90000000007</v>
      </c>
      <c r="D105" s="77">
        <v>14271776.870000001</v>
      </c>
      <c r="E105" s="77">
        <v>3059270.1</v>
      </c>
      <c r="F105" s="77">
        <v>3056107.5</v>
      </c>
      <c r="G105" s="77">
        <f t="shared" ref="G105:G112" si="25">D105-E105</f>
        <v>11212506.770000001</v>
      </c>
    </row>
    <row r="106" spans="1:7" x14ac:dyDescent="0.25">
      <c r="A106" s="81" t="s">
        <v>307</v>
      </c>
      <c r="B106" s="77">
        <v>8236995.5099999998</v>
      </c>
      <c r="C106" s="77">
        <v>2531222.149999999</v>
      </c>
      <c r="D106" s="77">
        <v>10768217.660000002</v>
      </c>
      <c r="E106" s="77">
        <v>1296293.98</v>
      </c>
      <c r="F106" s="77">
        <v>1255493.98</v>
      </c>
      <c r="G106" s="77">
        <f t="shared" si="25"/>
        <v>9471923.6800000016</v>
      </c>
    </row>
    <row r="107" spans="1:7" x14ac:dyDescent="0.25">
      <c r="A107" s="81" t="s">
        <v>308</v>
      </c>
      <c r="B107" s="77">
        <v>1412984.2600000002</v>
      </c>
      <c r="C107" s="77">
        <v>5144805.83</v>
      </c>
      <c r="D107" s="77">
        <v>6557790.0900000008</v>
      </c>
      <c r="E107" s="77">
        <v>87568.21</v>
      </c>
      <c r="F107" s="77">
        <v>87568.21</v>
      </c>
      <c r="G107" s="77">
        <f t="shared" si="25"/>
        <v>6470221.8800000008</v>
      </c>
    </row>
    <row r="108" spans="1:7" x14ac:dyDescent="0.25">
      <c r="A108" s="81" t="s">
        <v>309</v>
      </c>
      <c r="B108" s="77">
        <v>5761074.6399999997</v>
      </c>
      <c r="C108" s="77">
        <v>514768.56000000011</v>
      </c>
      <c r="D108" s="77">
        <v>6275843.1999999974</v>
      </c>
      <c r="E108" s="77">
        <v>1500237.72</v>
      </c>
      <c r="F108" s="77">
        <v>1420781.95</v>
      </c>
      <c r="G108" s="77">
        <f t="shared" si="25"/>
        <v>4775605.4799999977</v>
      </c>
    </row>
    <row r="109" spans="1:7" x14ac:dyDescent="0.25">
      <c r="A109" s="81" t="s">
        <v>310</v>
      </c>
      <c r="B109" s="77">
        <v>0</v>
      </c>
      <c r="C109" s="77">
        <v>547397.53</v>
      </c>
      <c r="D109" s="77">
        <v>547397.53</v>
      </c>
      <c r="E109" s="77">
        <v>55947.56</v>
      </c>
      <c r="F109" s="77">
        <v>55947.56</v>
      </c>
      <c r="G109" s="77">
        <f t="shared" si="25"/>
        <v>491449.97000000003</v>
      </c>
    </row>
    <row r="110" spans="1:7" x14ac:dyDescent="0.25">
      <c r="A110" s="81" t="s">
        <v>311</v>
      </c>
      <c r="B110" s="77">
        <v>9299382.620000001</v>
      </c>
      <c r="C110" s="77">
        <v>27141312.23</v>
      </c>
      <c r="D110" s="77">
        <v>36440694.850000001</v>
      </c>
      <c r="E110" s="77">
        <v>1100621.6200000001</v>
      </c>
      <c r="F110" s="77">
        <v>1037842.6900000002</v>
      </c>
      <c r="G110" s="77">
        <f t="shared" si="25"/>
        <v>35340073.230000004</v>
      </c>
    </row>
    <row r="111" spans="1:7" x14ac:dyDescent="0.25">
      <c r="A111" s="81" t="s">
        <v>312</v>
      </c>
      <c r="B111" s="77">
        <v>450000</v>
      </c>
      <c r="C111" s="77">
        <v>926680.94</v>
      </c>
      <c r="D111" s="77">
        <v>1376680.9400000002</v>
      </c>
      <c r="E111" s="77">
        <v>69922.73000000001</v>
      </c>
      <c r="F111" s="77">
        <v>69922.73000000001</v>
      </c>
      <c r="G111" s="77">
        <f t="shared" si="25"/>
        <v>1306758.2100000002</v>
      </c>
    </row>
    <row r="112" spans="1:7" x14ac:dyDescent="0.25">
      <c r="A112" s="81" t="s">
        <v>313</v>
      </c>
      <c r="B112" s="77">
        <v>231620.20999999996</v>
      </c>
      <c r="C112" s="77">
        <v>-41200.28</v>
      </c>
      <c r="D112" s="77">
        <v>190419.93</v>
      </c>
      <c r="E112" s="77">
        <v>27932.02</v>
      </c>
      <c r="F112" s="77">
        <v>25657.02</v>
      </c>
      <c r="G112" s="77">
        <f t="shared" si="25"/>
        <v>162487.91</v>
      </c>
    </row>
    <row r="113" spans="1:7" x14ac:dyDescent="0.25">
      <c r="A113" s="80" t="s">
        <v>314</v>
      </c>
      <c r="B113" s="77">
        <f>SUM(B114:B122)</f>
        <v>13384566.699999999</v>
      </c>
      <c r="C113" s="77">
        <f t="shared" ref="C113:G113" si="26">SUM(C114:C122)</f>
        <v>29307257.310000002</v>
      </c>
      <c r="D113" s="77">
        <f t="shared" si="26"/>
        <v>42691824.010000005</v>
      </c>
      <c r="E113" s="77">
        <f t="shared" si="26"/>
        <v>2944673.59</v>
      </c>
      <c r="F113" s="77">
        <f t="shared" si="26"/>
        <v>2772599.5200000005</v>
      </c>
      <c r="G113" s="77">
        <f t="shared" si="26"/>
        <v>39747150.420000002</v>
      </c>
    </row>
    <row r="114" spans="1:7" x14ac:dyDescent="0.25">
      <c r="A114" s="81" t="s">
        <v>315</v>
      </c>
      <c r="B114" s="77">
        <v>0</v>
      </c>
      <c r="C114" s="77">
        <v>0</v>
      </c>
      <c r="D114" s="77">
        <v>0</v>
      </c>
      <c r="E114" s="77">
        <v>0</v>
      </c>
      <c r="F114" s="77">
        <v>0</v>
      </c>
      <c r="G114" s="77">
        <f>D114-E114</f>
        <v>0</v>
      </c>
    </row>
    <row r="115" spans="1:7" x14ac:dyDescent="0.25">
      <c r="A115" s="81" t="s">
        <v>316</v>
      </c>
      <c r="B115" s="77">
        <v>0</v>
      </c>
      <c r="C115" s="77">
        <v>0</v>
      </c>
      <c r="D115" s="77">
        <v>0</v>
      </c>
      <c r="E115" s="77">
        <v>0</v>
      </c>
      <c r="F115" s="77">
        <v>0</v>
      </c>
      <c r="G115" s="77">
        <f t="shared" ref="G115:G122" si="27">D115-E115</f>
        <v>0</v>
      </c>
    </row>
    <row r="116" spans="1:7" x14ac:dyDescent="0.25">
      <c r="A116" s="81" t="s">
        <v>317</v>
      </c>
      <c r="B116" s="77">
        <v>0</v>
      </c>
      <c r="C116" s="77">
        <v>0</v>
      </c>
      <c r="D116" s="77">
        <v>0</v>
      </c>
      <c r="E116" s="77">
        <v>0</v>
      </c>
      <c r="F116" s="77">
        <v>0</v>
      </c>
      <c r="G116" s="77">
        <f t="shared" si="27"/>
        <v>0</v>
      </c>
    </row>
    <row r="117" spans="1:7" x14ac:dyDescent="0.25">
      <c r="A117" s="81" t="s">
        <v>318</v>
      </c>
      <c r="B117" s="77">
        <v>13384566.699999999</v>
      </c>
      <c r="C117" s="77">
        <v>29307257.310000002</v>
      </c>
      <c r="D117" s="77">
        <v>42691824.010000005</v>
      </c>
      <c r="E117" s="77">
        <v>2944673.59</v>
      </c>
      <c r="F117" s="77">
        <v>2772599.5200000005</v>
      </c>
      <c r="G117" s="77">
        <f t="shared" si="27"/>
        <v>39747150.420000002</v>
      </c>
    </row>
    <row r="118" spans="1:7" x14ac:dyDescent="0.25">
      <c r="A118" s="81" t="s">
        <v>319</v>
      </c>
      <c r="B118" s="77">
        <v>0</v>
      </c>
      <c r="C118" s="77">
        <v>0</v>
      </c>
      <c r="D118" s="77">
        <v>0</v>
      </c>
      <c r="E118" s="77">
        <v>0</v>
      </c>
      <c r="F118" s="77">
        <v>0</v>
      </c>
      <c r="G118" s="77">
        <f t="shared" si="27"/>
        <v>0</v>
      </c>
    </row>
    <row r="119" spans="1:7" x14ac:dyDescent="0.25">
      <c r="A119" s="81" t="s">
        <v>320</v>
      </c>
      <c r="B119" s="77">
        <v>0</v>
      </c>
      <c r="C119" s="77">
        <v>0</v>
      </c>
      <c r="D119" s="77">
        <v>0</v>
      </c>
      <c r="E119" s="77">
        <v>0</v>
      </c>
      <c r="F119" s="77">
        <v>0</v>
      </c>
      <c r="G119" s="77">
        <f t="shared" si="27"/>
        <v>0</v>
      </c>
    </row>
    <row r="120" spans="1:7" x14ac:dyDescent="0.25">
      <c r="A120" s="81" t="s">
        <v>321</v>
      </c>
      <c r="B120" s="77">
        <v>0</v>
      </c>
      <c r="C120" s="77">
        <v>0</v>
      </c>
      <c r="D120" s="77">
        <v>0</v>
      </c>
      <c r="E120" s="77">
        <v>0</v>
      </c>
      <c r="F120" s="77">
        <v>0</v>
      </c>
      <c r="G120" s="77">
        <f t="shared" si="27"/>
        <v>0</v>
      </c>
    </row>
    <row r="121" spans="1:7" x14ac:dyDescent="0.25">
      <c r="A121" s="81" t="s">
        <v>322</v>
      </c>
      <c r="B121" s="77">
        <v>0</v>
      </c>
      <c r="C121" s="77">
        <v>0</v>
      </c>
      <c r="D121" s="77">
        <v>0</v>
      </c>
      <c r="E121" s="77">
        <v>0</v>
      </c>
      <c r="F121" s="77">
        <v>0</v>
      </c>
      <c r="G121" s="77">
        <f t="shared" si="27"/>
        <v>0</v>
      </c>
    </row>
    <row r="122" spans="1:7" x14ac:dyDescent="0.25">
      <c r="A122" s="81" t="s">
        <v>323</v>
      </c>
      <c r="B122" s="77">
        <v>0</v>
      </c>
      <c r="C122" s="77">
        <v>0</v>
      </c>
      <c r="D122" s="77">
        <v>0</v>
      </c>
      <c r="E122" s="77">
        <v>0</v>
      </c>
      <c r="F122" s="77">
        <v>0</v>
      </c>
      <c r="G122" s="77">
        <f t="shared" si="27"/>
        <v>0</v>
      </c>
    </row>
    <row r="123" spans="1:7" x14ac:dyDescent="0.25">
      <c r="A123" s="80" t="s">
        <v>324</v>
      </c>
      <c r="B123" s="77">
        <f>SUM(B124:B132)</f>
        <v>42429445.799999997</v>
      </c>
      <c r="C123" s="77">
        <f t="shared" ref="C123:G123" si="28">SUM(C124:C132)</f>
        <v>28657192.140000004</v>
      </c>
      <c r="D123" s="77">
        <f t="shared" si="28"/>
        <v>71086637.940000013</v>
      </c>
      <c r="E123" s="77">
        <f t="shared" si="28"/>
        <v>3665709.1899999985</v>
      </c>
      <c r="F123" s="77">
        <f t="shared" si="28"/>
        <v>3232234.4599999986</v>
      </c>
      <c r="G123" s="77">
        <f t="shared" si="28"/>
        <v>67420928.750000015</v>
      </c>
    </row>
    <row r="124" spans="1:7" x14ac:dyDescent="0.25">
      <c r="A124" s="81" t="s">
        <v>325</v>
      </c>
      <c r="B124" s="77">
        <v>8277543.7999999998</v>
      </c>
      <c r="C124" s="77">
        <v>13368880.720000003</v>
      </c>
      <c r="D124" s="77">
        <v>21646424.520000003</v>
      </c>
      <c r="E124" s="77">
        <v>2554098.0299999989</v>
      </c>
      <c r="F124" s="77">
        <v>2200805.379999999</v>
      </c>
      <c r="G124" s="77">
        <f>D124-E124</f>
        <v>19092326.490000006</v>
      </c>
    </row>
    <row r="125" spans="1:7" x14ac:dyDescent="0.25">
      <c r="A125" s="81" t="s">
        <v>326</v>
      </c>
      <c r="B125" s="77">
        <v>100000</v>
      </c>
      <c r="C125" s="77">
        <v>450419.56</v>
      </c>
      <c r="D125" s="77">
        <v>550419.56000000006</v>
      </c>
      <c r="E125" s="77">
        <v>26394.92</v>
      </c>
      <c r="F125" s="77">
        <v>26394.92</v>
      </c>
      <c r="G125" s="77">
        <f t="shared" ref="G125:G132" si="29">D125-E125</f>
        <v>524024.64000000007</v>
      </c>
    </row>
    <row r="126" spans="1:7" x14ac:dyDescent="0.25">
      <c r="A126" s="81" t="s">
        <v>327</v>
      </c>
      <c r="B126" s="77">
        <v>34051902</v>
      </c>
      <c r="C126" s="77">
        <v>12070176.780000003</v>
      </c>
      <c r="D126" s="77">
        <v>46122078.780000009</v>
      </c>
      <c r="E126" s="77">
        <v>512488.73999999993</v>
      </c>
      <c r="F126" s="77">
        <v>441939.3</v>
      </c>
      <c r="G126" s="77">
        <f t="shared" si="29"/>
        <v>45609590.040000007</v>
      </c>
    </row>
    <row r="127" spans="1:7" x14ac:dyDescent="0.25">
      <c r="A127" s="81" t="s">
        <v>328</v>
      </c>
      <c r="B127" s="77">
        <v>0</v>
      </c>
      <c r="C127" s="77">
        <v>63349.79</v>
      </c>
      <c r="D127" s="77">
        <v>63349.79</v>
      </c>
      <c r="E127" s="77">
        <v>0</v>
      </c>
      <c r="F127" s="77">
        <v>0</v>
      </c>
      <c r="G127" s="77">
        <f t="shared" si="29"/>
        <v>63349.79</v>
      </c>
    </row>
    <row r="128" spans="1:7" x14ac:dyDescent="0.25">
      <c r="A128" s="81" t="s">
        <v>329</v>
      </c>
      <c r="B128" s="77">
        <v>0</v>
      </c>
      <c r="C128" s="77">
        <v>0</v>
      </c>
      <c r="D128" s="77">
        <v>0</v>
      </c>
      <c r="E128" s="77">
        <v>0</v>
      </c>
      <c r="F128" s="77">
        <v>0</v>
      </c>
      <c r="G128" s="77">
        <f t="shared" si="29"/>
        <v>0</v>
      </c>
    </row>
    <row r="129" spans="1:7" x14ac:dyDescent="0.25">
      <c r="A129" s="81" t="s">
        <v>330</v>
      </c>
      <c r="B129" s="77">
        <v>0</v>
      </c>
      <c r="C129" s="77">
        <v>2246796.66</v>
      </c>
      <c r="D129" s="77">
        <v>2246796.66</v>
      </c>
      <c r="E129" s="77">
        <v>499987.87</v>
      </c>
      <c r="F129" s="77">
        <v>490355.23</v>
      </c>
      <c r="G129" s="77">
        <f t="shared" si="29"/>
        <v>1746808.79</v>
      </c>
    </row>
    <row r="130" spans="1:7" x14ac:dyDescent="0.25">
      <c r="A130" s="81" t="s">
        <v>331</v>
      </c>
      <c r="B130" s="77">
        <v>0</v>
      </c>
      <c r="C130" s="77">
        <v>36500</v>
      </c>
      <c r="D130" s="77">
        <v>36500</v>
      </c>
      <c r="E130" s="77">
        <v>0</v>
      </c>
      <c r="F130" s="77">
        <v>0</v>
      </c>
      <c r="G130" s="77">
        <f t="shared" si="29"/>
        <v>36500</v>
      </c>
    </row>
    <row r="131" spans="1:7" x14ac:dyDescent="0.25">
      <c r="A131" s="81" t="s">
        <v>332</v>
      </c>
      <c r="B131" s="77">
        <v>0</v>
      </c>
      <c r="C131" s="77">
        <v>0</v>
      </c>
      <c r="D131" s="77">
        <v>0</v>
      </c>
      <c r="E131" s="77">
        <v>0</v>
      </c>
      <c r="F131" s="77">
        <v>0</v>
      </c>
      <c r="G131" s="77">
        <f t="shared" si="29"/>
        <v>0</v>
      </c>
    </row>
    <row r="132" spans="1:7" x14ac:dyDescent="0.25">
      <c r="A132" s="81" t="s">
        <v>333</v>
      </c>
      <c r="B132" s="77">
        <v>0</v>
      </c>
      <c r="C132" s="77">
        <v>421068.62999999995</v>
      </c>
      <c r="D132" s="77">
        <v>421068.62999999995</v>
      </c>
      <c r="E132" s="77">
        <v>72739.63</v>
      </c>
      <c r="F132" s="77">
        <v>72739.63</v>
      </c>
      <c r="G132" s="77">
        <f t="shared" si="29"/>
        <v>348328.99999999994</v>
      </c>
    </row>
    <row r="133" spans="1:7" x14ac:dyDescent="0.25">
      <c r="A133" s="80" t="s">
        <v>334</v>
      </c>
      <c r="B133" s="77">
        <f>B135</f>
        <v>23667568.73</v>
      </c>
      <c r="C133" s="77">
        <f>C135</f>
        <v>12511162.350000001</v>
      </c>
      <c r="D133" s="77">
        <f>D135</f>
        <v>36178731.079999998</v>
      </c>
      <c r="E133" s="77">
        <f>E135</f>
        <v>4714145.1500000004</v>
      </c>
      <c r="F133" s="77">
        <f>F135</f>
        <v>4714145.1500000004</v>
      </c>
      <c r="G133" s="77">
        <f>SUM(G134:G136)</f>
        <v>31464585.93</v>
      </c>
    </row>
    <row r="134" spans="1:7" x14ac:dyDescent="0.25">
      <c r="A134" s="81" t="s">
        <v>335</v>
      </c>
      <c r="B134" s="77">
        <v>0</v>
      </c>
      <c r="C134" s="77">
        <v>0</v>
      </c>
      <c r="D134" s="77">
        <v>0</v>
      </c>
      <c r="E134" s="77">
        <v>0</v>
      </c>
      <c r="F134" s="77">
        <v>0</v>
      </c>
      <c r="G134" s="77">
        <f>D134-E134</f>
        <v>0</v>
      </c>
    </row>
    <row r="135" spans="1:7" x14ac:dyDescent="0.25">
      <c r="A135" s="81" t="s">
        <v>336</v>
      </c>
      <c r="B135" s="77">
        <v>23667568.73</v>
      </c>
      <c r="C135" s="77">
        <v>12511162.350000001</v>
      </c>
      <c r="D135" s="77">
        <v>36178731.079999998</v>
      </c>
      <c r="E135" s="77">
        <v>4714145.1500000004</v>
      </c>
      <c r="F135" s="77">
        <v>4714145.1500000004</v>
      </c>
      <c r="G135" s="77">
        <f t="shared" ref="G135:G136" si="30">D135-E135</f>
        <v>31464585.93</v>
      </c>
    </row>
    <row r="136" spans="1:7" x14ac:dyDescent="0.25">
      <c r="A136" s="81" t="s">
        <v>337</v>
      </c>
      <c r="B136" s="77">
        <v>0</v>
      </c>
      <c r="C136" s="77">
        <v>0</v>
      </c>
      <c r="D136" s="77">
        <v>0</v>
      </c>
      <c r="E136" s="77">
        <v>0</v>
      </c>
      <c r="F136" s="77">
        <v>0</v>
      </c>
      <c r="G136" s="77">
        <f t="shared" si="30"/>
        <v>0</v>
      </c>
    </row>
    <row r="137" spans="1:7" x14ac:dyDescent="0.25">
      <c r="A137" s="80" t="s">
        <v>338</v>
      </c>
      <c r="B137" s="77">
        <f>SUM(B138:B142,B144:B145)</f>
        <v>0</v>
      </c>
      <c r="C137" s="77">
        <f t="shared" ref="C137:G137" si="31">SUM(C138:C142,C144:C145)</f>
        <v>0</v>
      </c>
      <c r="D137" s="77">
        <f t="shared" si="31"/>
        <v>0</v>
      </c>
      <c r="E137" s="77">
        <f t="shared" si="31"/>
        <v>0</v>
      </c>
      <c r="F137" s="77">
        <f t="shared" si="31"/>
        <v>0</v>
      </c>
      <c r="G137" s="77">
        <f t="shared" si="31"/>
        <v>0</v>
      </c>
    </row>
    <row r="138" spans="1:7" x14ac:dyDescent="0.25">
      <c r="A138" s="81" t="s">
        <v>339</v>
      </c>
      <c r="B138" s="77">
        <v>0</v>
      </c>
      <c r="C138" s="77">
        <v>0</v>
      </c>
      <c r="D138" s="77">
        <v>0</v>
      </c>
      <c r="E138" s="77">
        <v>0</v>
      </c>
      <c r="F138" s="77">
        <v>0</v>
      </c>
      <c r="G138" s="77">
        <f>D138-E138</f>
        <v>0</v>
      </c>
    </row>
    <row r="139" spans="1:7" x14ac:dyDescent="0.25">
      <c r="A139" s="81" t="s">
        <v>340</v>
      </c>
      <c r="B139" s="77">
        <v>0</v>
      </c>
      <c r="C139" s="77">
        <v>0</v>
      </c>
      <c r="D139" s="77">
        <v>0</v>
      </c>
      <c r="E139" s="77">
        <v>0</v>
      </c>
      <c r="F139" s="77">
        <v>0</v>
      </c>
      <c r="G139" s="77">
        <f t="shared" ref="G139:G145" si="32">D139-E139</f>
        <v>0</v>
      </c>
    </row>
    <row r="140" spans="1:7" x14ac:dyDescent="0.25">
      <c r="A140" s="81" t="s">
        <v>341</v>
      </c>
      <c r="B140" s="77">
        <v>0</v>
      </c>
      <c r="C140" s="77">
        <v>0</v>
      </c>
      <c r="D140" s="77">
        <v>0</v>
      </c>
      <c r="E140" s="77">
        <v>0</v>
      </c>
      <c r="F140" s="77">
        <v>0</v>
      </c>
      <c r="G140" s="77">
        <f t="shared" si="32"/>
        <v>0</v>
      </c>
    </row>
    <row r="141" spans="1:7" x14ac:dyDescent="0.25">
      <c r="A141" s="81" t="s">
        <v>342</v>
      </c>
      <c r="B141" s="77">
        <v>0</v>
      </c>
      <c r="C141" s="77">
        <v>0</v>
      </c>
      <c r="D141" s="77">
        <v>0</v>
      </c>
      <c r="E141" s="77">
        <v>0</v>
      </c>
      <c r="F141" s="77">
        <v>0</v>
      </c>
      <c r="G141" s="77">
        <f t="shared" si="32"/>
        <v>0</v>
      </c>
    </row>
    <row r="142" spans="1:7" x14ac:dyDescent="0.25">
      <c r="A142" s="81" t="s">
        <v>343</v>
      </c>
      <c r="B142" s="77">
        <v>0</v>
      </c>
      <c r="C142" s="77">
        <v>0</v>
      </c>
      <c r="D142" s="77">
        <v>0</v>
      </c>
      <c r="E142" s="77">
        <v>0</v>
      </c>
      <c r="F142" s="77">
        <v>0</v>
      </c>
      <c r="G142" s="77">
        <f t="shared" si="32"/>
        <v>0</v>
      </c>
    </row>
    <row r="143" spans="1:7" x14ac:dyDescent="0.25">
      <c r="A143" s="81" t="s">
        <v>3301</v>
      </c>
      <c r="B143" s="77">
        <v>0</v>
      </c>
      <c r="C143" s="77">
        <v>0</v>
      </c>
      <c r="D143" s="77">
        <v>0</v>
      </c>
      <c r="E143" s="77">
        <v>0</v>
      </c>
      <c r="F143" s="77">
        <v>0</v>
      </c>
      <c r="G143" s="77">
        <f t="shared" si="32"/>
        <v>0</v>
      </c>
    </row>
    <row r="144" spans="1:7" x14ac:dyDescent="0.25">
      <c r="A144" s="81" t="s">
        <v>345</v>
      </c>
      <c r="B144" s="77">
        <v>0</v>
      </c>
      <c r="C144" s="77">
        <v>0</v>
      </c>
      <c r="D144" s="77">
        <v>0</v>
      </c>
      <c r="E144" s="77">
        <v>0</v>
      </c>
      <c r="F144" s="77">
        <v>0</v>
      </c>
      <c r="G144" s="77">
        <f t="shared" si="32"/>
        <v>0</v>
      </c>
    </row>
    <row r="145" spans="1:7" x14ac:dyDescent="0.25">
      <c r="A145" s="81" t="s">
        <v>346</v>
      </c>
      <c r="B145" s="77">
        <v>0</v>
      </c>
      <c r="C145" s="77">
        <v>0</v>
      </c>
      <c r="D145" s="77">
        <v>0</v>
      </c>
      <c r="E145" s="77">
        <v>0</v>
      </c>
      <c r="F145" s="77">
        <v>0</v>
      </c>
      <c r="G145" s="77">
        <f t="shared" si="32"/>
        <v>0</v>
      </c>
    </row>
    <row r="146" spans="1:7" x14ac:dyDescent="0.25">
      <c r="A146" s="80" t="s">
        <v>347</v>
      </c>
      <c r="B146" s="77">
        <f>SUM(B147:B149)</f>
        <v>0</v>
      </c>
      <c r="C146" s="77">
        <f t="shared" ref="C146:G146" si="33">SUM(C147:C149)</f>
        <v>0</v>
      </c>
      <c r="D146" s="77">
        <f t="shared" si="33"/>
        <v>0</v>
      </c>
      <c r="E146" s="77">
        <f t="shared" si="33"/>
        <v>0</v>
      </c>
      <c r="F146" s="77">
        <f t="shared" si="33"/>
        <v>0</v>
      </c>
      <c r="G146" s="77">
        <f t="shared" si="33"/>
        <v>0</v>
      </c>
    </row>
    <row r="147" spans="1:7" x14ac:dyDescent="0.25">
      <c r="A147" s="81" t="s">
        <v>348</v>
      </c>
      <c r="B147" s="77">
        <v>0</v>
      </c>
      <c r="C147" s="77">
        <v>0</v>
      </c>
      <c r="D147" s="77">
        <v>0</v>
      </c>
      <c r="E147" s="77">
        <v>0</v>
      </c>
      <c r="F147" s="77">
        <v>0</v>
      </c>
      <c r="G147" s="77">
        <f>D147-E147</f>
        <v>0</v>
      </c>
    </row>
    <row r="148" spans="1:7" x14ac:dyDescent="0.25">
      <c r="A148" s="81" t="s">
        <v>349</v>
      </c>
      <c r="B148" s="77">
        <v>0</v>
      </c>
      <c r="C148" s="77">
        <v>0</v>
      </c>
      <c r="D148" s="77">
        <v>0</v>
      </c>
      <c r="E148" s="77">
        <v>0</v>
      </c>
      <c r="F148" s="77">
        <v>0</v>
      </c>
      <c r="G148" s="77">
        <f t="shared" ref="G148:G149" si="34">D148-E148</f>
        <v>0</v>
      </c>
    </row>
    <row r="149" spans="1:7" x14ac:dyDescent="0.25">
      <c r="A149" s="81" t="s">
        <v>350</v>
      </c>
      <c r="B149" s="77">
        <v>0</v>
      </c>
      <c r="C149" s="77">
        <v>0</v>
      </c>
      <c r="D149" s="77">
        <v>0</v>
      </c>
      <c r="E149" s="77">
        <v>0</v>
      </c>
      <c r="F149" s="77">
        <v>0</v>
      </c>
      <c r="G149" s="77">
        <f t="shared" si="34"/>
        <v>0</v>
      </c>
    </row>
    <row r="150" spans="1:7" x14ac:dyDescent="0.25">
      <c r="A150" s="80" t="s">
        <v>351</v>
      </c>
      <c r="B150" s="77">
        <f>SUM(B151:B157)</f>
        <v>0</v>
      </c>
      <c r="C150" s="77">
        <f t="shared" ref="C150:G150" si="35">SUM(C151:C157)</f>
        <v>0</v>
      </c>
      <c r="D150" s="77">
        <f t="shared" si="35"/>
        <v>0</v>
      </c>
      <c r="E150" s="77">
        <f t="shared" si="35"/>
        <v>0</v>
      </c>
      <c r="F150" s="77">
        <f t="shared" si="35"/>
        <v>0</v>
      </c>
      <c r="G150" s="77">
        <f t="shared" si="35"/>
        <v>0</v>
      </c>
    </row>
    <row r="151" spans="1:7" x14ac:dyDescent="0.25">
      <c r="A151" s="81" t="s">
        <v>352</v>
      </c>
      <c r="B151" s="77">
        <v>0</v>
      </c>
      <c r="C151" s="77">
        <v>0</v>
      </c>
      <c r="D151" s="77">
        <v>0</v>
      </c>
      <c r="E151" s="77">
        <v>0</v>
      </c>
      <c r="F151" s="77">
        <v>0</v>
      </c>
      <c r="G151" s="77">
        <f>D151-E151</f>
        <v>0</v>
      </c>
    </row>
    <row r="152" spans="1:7" x14ac:dyDescent="0.25">
      <c r="A152" s="81" t="s">
        <v>353</v>
      </c>
      <c r="B152" s="77">
        <v>0</v>
      </c>
      <c r="C152" s="77">
        <v>0</v>
      </c>
      <c r="D152" s="77">
        <v>0</v>
      </c>
      <c r="E152" s="77">
        <v>0</v>
      </c>
      <c r="F152" s="77">
        <v>0</v>
      </c>
      <c r="G152" s="77">
        <f t="shared" ref="G152:G157" si="36">D152-E152</f>
        <v>0</v>
      </c>
    </row>
    <row r="153" spans="1:7" x14ac:dyDescent="0.25">
      <c r="A153" s="81" t="s">
        <v>354</v>
      </c>
      <c r="B153" s="77">
        <v>0</v>
      </c>
      <c r="C153" s="77">
        <v>0</v>
      </c>
      <c r="D153" s="77">
        <v>0</v>
      </c>
      <c r="E153" s="77">
        <v>0</v>
      </c>
      <c r="F153" s="77">
        <v>0</v>
      </c>
      <c r="G153" s="77">
        <f t="shared" si="36"/>
        <v>0</v>
      </c>
    </row>
    <row r="154" spans="1:7" x14ac:dyDescent="0.25">
      <c r="A154" s="42" t="s">
        <v>355</v>
      </c>
      <c r="B154" s="77">
        <v>0</v>
      </c>
      <c r="C154" s="77">
        <v>0</v>
      </c>
      <c r="D154" s="77">
        <v>0</v>
      </c>
      <c r="E154" s="77">
        <v>0</v>
      </c>
      <c r="F154" s="77">
        <v>0</v>
      </c>
      <c r="G154" s="77">
        <f t="shared" si="36"/>
        <v>0</v>
      </c>
    </row>
    <row r="155" spans="1:7" x14ac:dyDescent="0.25">
      <c r="A155" s="81" t="s">
        <v>356</v>
      </c>
      <c r="B155" s="77">
        <v>0</v>
      </c>
      <c r="C155" s="77">
        <v>0</v>
      </c>
      <c r="D155" s="77">
        <v>0</v>
      </c>
      <c r="E155" s="77">
        <v>0</v>
      </c>
      <c r="F155" s="77">
        <v>0</v>
      </c>
      <c r="G155" s="77">
        <f t="shared" si="36"/>
        <v>0</v>
      </c>
    </row>
    <row r="156" spans="1:7" x14ac:dyDescent="0.25">
      <c r="A156" s="81" t="s">
        <v>357</v>
      </c>
      <c r="B156" s="77">
        <v>0</v>
      </c>
      <c r="C156" s="77">
        <v>0</v>
      </c>
      <c r="D156" s="77">
        <v>0</v>
      </c>
      <c r="E156" s="77">
        <v>0</v>
      </c>
      <c r="F156" s="77">
        <v>0</v>
      </c>
      <c r="G156" s="77">
        <f t="shared" si="36"/>
        <v>0</v>
      </c>
    </row>
    <row r="157" spans="1:7" x14ac:dyDescent="0.25">
      <c r="A157" s="81" t="s">
        <v>358</v>
      </c>
      <c r="B157" s="77">
        <v>0</v>
      </c>
      <c r="C157" s="77">
        <v>0</v>
      </c>
      <c r="D157" s="77">
        <v>0</v>
      </c>
      <c r="E157" s="77">
        <v>0</v>
      </c>
      <c r="F157" s="77">
        <v>0</v>
      </c>
      <c r="G157" s="77">
        <f t="shared" si="36"/>
        <v>0</v>
      </c>
    </row>
    <row r="158" spans="1:7" x14ac:dyDescent="0.25">
      <c r="A158" s="43"/>
      <c r="B158" s="78"/>
      <c r="C158" s="78"/>
      <c r="D158" s="78"/>
      <c r="E158" s="78"/>
      <c r="F158" s="78"/>
      <c r="G158" s="78"/>
    </row>
    <row r="159" spans="1:7" x14ac:dyDescent="0.25">
      <c r="A159" s="44" t="s">
        <v>360</v>
      </c>
      <c r="B159" s="76">
        <f>B9+B84</f>
        <v>4007116009.9900002</v>
      </c>
      <c r="C159" s="76">
        <f t="shared" ref="C159:G159" si="37">C9+C84</f>
        <v>41578727.629999936</v>
      </c>
      <c r="D159" s="76">
        <f t="shared" si="37"/>
        <v>4048694737.6200018</v>
      </c>
      <c r="E159" s="76">
        <f t="shared" si="37"/>
        <v>1462274856.9700003</v>
      </c>
      <c r="F159" s="76">
        <f t="shared" si="37"/>
        <v>1420531388.5400009</v>
      </c>
      <c r="G159" s="76">
        <f t="shared" si="37"/>
        <v>2586419880.6500006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D00-000000000000}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2001196837.2800002</v>
      </c>
      <c r="Q2" s="18">
        <f>'Formato 6 a)'!C9</f>
        <v>-77180056.360000014</v>
      </c>
      <c r="R2" s="18">
        <f>'Formato 6 a)'!D9</f>
        <v>1924016780.920001</v>
      </c>
      <c r="S2" s="18">
        <f>'Formato 6 a)'!E9</f>
        <v>607207051.64999998</v>
      </c>
      <c r="T2" s="18">
        <f>'Formato 6 a)'!F9</f>
        <v>573183754.04000008</v>
      </c>
      <c r="U2" s="18">
        <f>'Formato 6 a)'!G9</f>
        <v>1316809729.2700005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1084079858.9400003</v>
      </c>
      <c r="Q3" s="18">
        <f>'Formato 6 a)'!C10</f>
        <v>19735130.479999974</v>
      </c>
      <c r="R3" s="18">
        <f>'Formato 6 a)'!D10</f>
        <v>1103814989.4200006</v>
      </c>
      <c r="S3" s="18">
        <f>'Formato 6 a)'!E10</f>
        <v>469750680.95000005</v>
      </c>
      <c r="T3" s="18">
        <f>'Formato 6 a)'!F10</f>
        <v>460326355.23000002</v>
      </c>
      <c r="U3" s="18">
        <f>'Formato 6 a)'!G10</f>
        <v>634064308.47000039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217122542.63000017</v>
      </c>
      <c r="Q4" s="18">
        <f>'Formato 6 a)'!C11</f>
        <v>-1470473.61</v>
      </c>
      <c r="R4" s="18">
        <f>'Formato 6 a)'!D11</f>
        <v>215652069.02000016</v>
      </c>
      <c r="S4" s="18">
        <f>'Formato 6 a)'!E11</f>
        <v>106629656.33000001</v>
      </c>
      <c r="T4" s="18">
        <f>'Formato 6 a)'!F11</f>
        <v>106529448.44000001</v>
      </c>
      <c r="U4" s="18">
        <f>'Formato 6 a)'!G11</f>
        <v>109022412.69000015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267696386.4899998</v>
      </c>
      <c r="Q5" s="18">
        <f>'Formato 6 a)'!C12</f>
        <v>42188880.649999976</v>
      </c>
      <c r="R5" s="18">
        <f>'Formato 6 a)'!D12</f>
        <v>309885267.1400001</v>
      </c>
      <c r="S5" s="18">
        <f>'Formato 6 a)'!E12</f>
        <v>119968179.38000003</v>
      </c>
      <c r="T5" s="18">
        <f>'Formato 6 a)'!F12</f>
        <v>119737387.76000002</v>
      </c>
      <c r="U5" s="18">
        <f>'Formato 6 a)'!G12</f>
        <v>189917087.76000008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119180432.96000007</v>
      </c>
      <c r="Q6" s="18">
        <f>'Formato 6 a)'!C13</f>
        <v>906424.58</v>
      </c>
      <c r="R6" s="18">
        <f>'Formato 6 a)'!D13</f>
        <v>120086857.54000014</v>
      </c>
      <c r="S6" s="18">
        <f>'Formato 6 a)'!E13</f>
        <v>39515428.660000041</v>
      </c>
      <c r="T6" s="18">
        <f>'Formato 6 a)'!F13</f>
        <v>39503558.77000007</v>
      </c>
      <c r="U6" s="18">
        <f>'Formato 6 a)'!G13</f>
        <v>80571428.8800001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130918506.94000003</v>
      </c>
      <c r="Q7" s="18">
        <f>'Formato 6 a)'!C14</f>
        <v>-215457.18000000011</v>
      </c>
      <c r="R7" s="18">
        <f>'Formato 6 a)'!D14</f>
        <v>130703049.76000005</v>
      </c>
      <c r="S7" s="18">
        <f>'Formato 6 a)'!E14</f>
        <v>58673726.689999998</v>
      </c>
      <c r="T7" s="18">
        <f>'Formato 6 a)'!F14</f>
        <v>58546980.460000001</v>
      </c>
      <c r="U7" s="18">
        <f>'Formato 6 a)'!G14</f>
        <v>72029323.070000052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250308732.84000021</v>
      </c>
      <c r="Q8" s="18">
        <f>'Formato 6 a)'!C15</f>
        <v>-31131678.829999998</v>
      </c>
      <c r="R8" s="18">
        <f>'Formato 6 a)'!D15</f>
        <v>219177054.00999993</v>
      </c>
      <c r="S8" s="18">
        <f>'Formato 6 a)'!E15</f>
        <v>86772499.60999994</v>
      </c>
      <c r="T8" s="18">
        <f>'Formato 6 a)'!F15</f>
        <v>77819200.939999878</v>
      </c>
      <c r="U8" s="18">
        <f>'Formato 6 a)'!G15</f>
        <v>132404554.39999999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98853257.080000028</v>
      </c>
      <c r="Q10" s="18">
        <f>'Formato 6 a)'!C17</f>
        <v>9457434.8699999992</v>
      </c>
      <c r="R10" s="18">
        <f>'Formato 6 a)'!D17</f>
        <v>108310691.94999993</v>
      </c>
      <c r="S10" s="18">
        <f>'Formato 6 a)'!E17</f>
        <v>58191190.280000009</v>
      </c>
      <c r="T10" s="18">
        <f>'Formato 6 a)'!F17</f>
        <v>58189778.860000007</v>
      </c>
      <c r="U10" s="18">
        <f>'Formato 6 a)'!G17</f>
        <v>50119501.66999992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63409981.56000001</v>
      </c>
      <c r="Q11" s="18">
        <f>'Formato 6 a)'!C18</f>
        <v>52617779.650000021</v>
      </c>
      <c r="R11" s="18">
        <f>'Formato 6 a)'!D18</f>
        <v>116027761.21000002</v>
      </c>
      <c r="S11" s="18">
        <f>'Formato 6 a)'!E18</f>
        <v>14505188.539999994</v>
      </c>
      <c r="T11" s="18">
        <f>'Formato 6 a)'!F18</f>
        <v>13207901.089999996</v>
      </c>
      <c r="U11" s="18">
        <f>'Formato 6 a)'!G18</f>
        <v>101522572.67000003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19694632.34</v>
      </c>
      <c r="Q12" s="18">
        <f>'Formato 6 a)'!C19</f>
        <v>40239628.470000021</v>
      </c>
      <c r="R12" s="18">
        <f>'Formato 6 a)'!D19</f>
        <v>59934260.810000002</v>
      </c>
      <c r="S12" s="18">
        <f>'Formato 6 a)'!E19</f>
        <v>3489327.8499999973</v>
      </c>
      <c r="T12" s="18">
        <f>'Formato 6 a)'!F19</f>
        <v>3209171.3199999966</v>
      </c>
      <c r="U12" s="18">
        <f>'Formato 6 a)'!G19</f>
        <v>56444932.960000008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8199060.3900000025</v>
      </c>
      <c r="Q13" s="18">
        <f>'Formato 6 a)'!C20</f>
        <v>221768.23000000021</v>
      </c>
      <c r="R13" s="18">
        <f>'Formato 6 a)'!D20</f>
        <v>8420828.6199999992</v>
      </c>
      <c r="S13" s="18">
        <f>'Formato 6 a)'!E20</f>
        <v>1855670.0899999996</v>
      </c>
      <c r="T13" s="18">
        <f>'Formato 6 a)'!F20</f>
        <v>1779720.1699999995</v>
      </c>
      <c r="U13" s="18">
        <f>'Formato 6 a)'!G20</f>
        <v>6565158.5299999993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6915815.5600000015</v>
      </c>
      <c r="Q15" s="18">
        <f>'Formato 6 a)'!C22</f>
        <v>1123770.0900000001</v>
      </c>
      <c r="R15" s="18">
        <f>'Formato 6 a)'!D22</f>
        <v>8039585.6500000032</v>
      </c>
      <c r="S15" s="18">
        <f>'Formato 6 a)'!E22</f>
        <v>1081013.44</v>
      </c>
      <c r="T15" s="18">
        <f>'Formato 6 a)'!F22</f>
        <v>969679.42</v>
      </c>
      <c r="U15" s="18">
        <f>'Formato 6 a)'!G22</f>
        <v>6958572.2100000028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10121481.98</v>
      </c>
      <c r="Q16" s="18">
        <f>'Formato 6 a)'!C23</f>
        <v>9314306.7899999991</v>
      </c>
      <c r="R16" s="18">
        <f>'Formato 6 a)'!D23</f>
        <v>19435788.770000003</v>
      </c>
      <c r="S16" s="18">
        <f>'Formato 6 a)'!E23</f>
        <v>5129509.4999999981</v>
      </c>
      <c r="T16" s="18">
        <f>'Formato 6 a)'!F23</f>
        <v>4626386.1700000009</v>
      </c>
      <c r="U16" s="18">
        <f>'Formato 6 a)'!G23</f>
        <v>14306279.270000005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7064606.8800000008</v>
      </c>
      <c r="Q17" s="18">
        <f>'Formato 6 a)'!C24</f>
        <v>218405.86000000013</v>
      </c>
      <c r="R17" s="18">
        <f>'Formato 6 a)'!D24</f>
        <v>7283012.7400000002</v>
      </c>
      <c r="S17" s="18">
        <f>'Formato 6 a)'!E24</f>
        <v>1517410.8499999992</v>
      </c>
      <c r="T17" s="18">
        <f>'Formato 6 a)'!F24</f>
        <v>1497947.8599999996</v>
      </c>
      <c r="U17" s="18">
        <f>'Formato 6 a)'!G24</f>
        <v>5765601.8900000006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9644257.4700000007</v>
      </c>
      <c r="Q18" s="18">
        <f>'Formato 6 a)'!C25</f>
        <v>875764.75999999989</v>
      </c>
      <c r="R18" s="18">
        <f>'Formato 6 a)'!D25</f>
        <v>10520022.23</v>
      </c>
      <c r="S18" s="18">
        <f>'Formato 6 a)'!E25</f>
        <v>871674.5299999998</v>
      </c>
      <c r="T18" s="18">
        <f>'Formato 6 a)'!F25</f>
        <v>658604.7699999999</v>
      </c>
      <c r="U18" s="18">
        <f>'Formato 6 a)'!G25</f>
        <v>9648347.7000000011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1770126.94</v>
      </c>
      <c r="Q20" s="18">
        <f>'Formato 6 a)'!C27</f>
        <v>624135.44999999984</v>
      </c>
      <c r="R20" s="18">
        <f>'Formato 6 a)'!D27</f>
        <v>2394262.3900000006</v>
      </c>
      <c r="S20" s="18">
        <f>'Formato 6 a)'!E27</f>
        <v>560582.2799999998</v>
      </c>
      <c r="T20" s="18">
        <f>'Formato 6 a)'!F27</f>
        <v>466391.37999999983</v>
      </c>
      <c r="U20" s="18">
        <f>'Formato 6 a)'!G27</f>
        <v>1833680.1100000008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302193711.92000008</v>
      </c>
      <c r="Q21" s="18">
        <f>'Formato 6 a)'!C28</f>
        <v>43011443.960000001</v>
      </c>
      <c r="R21" s="18">
        <f>'Formato 6 a)'!D28</f>
        <v>345205155.88</v>
      </c>
      <c r="S21" s="18">
        <f>'Formato 6 a)'!E28</f>
        <v>61013623.480000004</v>
      </c>
      <c r="T21" s="18">
        <f>'Formato 6 a)'!F28</f>
        <v>39637727.910000011</v>
      </c>
      <c r="U21" s="18">
        <f>'Formato 6 a)'!G28</f>
        <v>284191532.40000004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10436788.4</v>
      </c>
      <c r="Q22" s="18">
        <f>'Formato 6 a)'!C29</f>
        <v>1646345.4500000004</v>
      </c>
      <c r="R22" s="18">
        <f>'Formato 6 a)'!D29</f>
        <v>12083133.850000003</v>
      </c>
      <c r="S22" s="18">
        <f>'Formato 6 a)'!E29</f>
        <v>4056653.2300000004</v>
      </c>
      <c r="T22" s="18">
        <f>'Formato 6 a)'!F29</f>
        <v>3703952.7600000007</v>
      </c>
      <c r="U22" s="18">
        <f>'Formato 6 a)'!G29</f>
        <v>8026480.6200000029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27857609.629999995</v>
      </c>
      <c r="Q23" s="18">
        <f>'Formato 6 a)'!C30</f>
        <v>63880.29</v>
      </c>
      <c r="R23" s="18">
        <f>'Formato 6 a)'!D30</f>
        <v>27921489.920000006</v>
      </c>
      <c r="S23" s="18">
        <f>'Formato 6 a)'!E30</f>
        <v>5284539.7800000012</v>
      </c>
      <c r="T23" s="18">
        <f>'Formato 6 a)'!F30</f>
        <v>4903059.3600000003</v>
      </c>
      <c r="U23" s="18">
        <f>'Formato 6 a)'!G30</f>
        <v>22636950.140000004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52245112.210000001</v>
      </c>
      <c r="Q24" s="18">
        <f>'Formato 6 a)'!C31</f>
        <v>32248251.739999998</v>
      </c>
      <c r="R24" s="18">
        <f>'Formato 6 a)'!D31</f>
        <v>84493363.950000033</v>
      </c>
      <c r="S24" s="18">
        <f>'Formato 6 a)'!E31</f>
        <v>8248172.870000001</v>
      </c>
      <c r="T24" s="18">
        <f>'Formato 6 a)'!F31</f>
        <v>7952555.9300000016</v>
      </c>
      <c r="U24" s="18">
        <f>'Formato 6 a)'!G31</f>
        <v>76245191.080000028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9014471.1600000001</v>
      </c>
      <c r="Q25" s="18">
        <f>'Formato 6 a)'!C32</f>
        <v>5212558.49</v>
      </c>
      <c r="R25" s="18">
        <f>'Formato 6 a)'!D32</f>
        <v>14227029.649999999</v>
      </c>
      <c r="S25" s="18">
        <f>'Formato 6 a)'!E32</f>
        <v>2991029.39</v>
      </c>
      <c r="T25" s="18">
        <f>'Formato 6 a)'!F32</f>
        <v>2991029.39</v>
      </c>
      <c r="U25" s="18">
        <f>'Formato 6 a)'!G32</f>
        <v>11236000.259999998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79055277.359999999</v>
      </c>
      <c r="Q26" s="18">
        <f>'Formato 6 a)'!C33</f>
        <v>15553745.550000003</v>
      </c>
      <c r="R26" s="18">
        <f>'Formato 6 a)'!D33</f>
        <v>94609022.909999996</v>
      </c>
      <c r="S26" s="18">
        <f>'Formato 6 a)'!E33</f>
        <v>13607269.500000006</v>
      </c>
      <c r="T26" s="18">
        <f>'Formato 6 a)'!F33</f>
        <v>13278658.840000005</v>
      </c>
      <c r="U26" s="18">
        <f>'Formato 6 a)'!G33</f>
        <v>81001753.409999996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15683056.93</v>
      </c>
      <c r="Q27" s="18">
        <f>'Formato 6 a)'!C34</f>
        <v>-5173444.4400000004</v>
      </c>
      <c r="R27" s="18">
        <f>'Formato 6 a)'!D34</f>
        <v>10509612.49</v>
      </c>
      <c r="S27" s="18">
        <f>'Formato 6 a)'!E34</f>
        <v>1746268.4900000002</v>
      </c>
      <c r="T27" s="18">
        <f>'Formato 6 a)'!F34</f>
        <v>1632968.9200000002</v>
      </c>
      <c r="U27" s="18">
        <f>'Formato 6 a)'!G34</f>
        <v>8763344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28375414.879999995</v>
      </c>
      <c r="Q28" s="18">
        <f>'Formato 6 a)'!C35</f>
        <v>-4328807.950000003</v>
      </c>
      <c r="R28" s="18">
        <f>'Formato 6 a)'!D35</f>
        <v>24046606.93</v>
      </c>
      <c r="S28" s="18">
        <f>'Formato 6 a)'!E35</f>
        <v>1836041.7999999996</v>
      </c>
      <c r="T28" s="18">
        <f>'Formato 6 a)'!F35</f>
        <v>1784234.3999999997</v>
      </c>
      <c r="U28" s="18">
        <f>'Formato 6 a)'!G35</f>
        <v>22210565.129999999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35569304.549999997</v>
      </c>
      <c r="Q29" s="18">
        <f>'Formato 6 a)'!C36</f>
        <v>-2546971.6400000015</v>
      </c>
      <c r="R29" s="18">
        <f>'Formato 6 a)'!D36</f>
        <v>33022332.909999996</v>
      </c>
      <c r="S29" s="18">
        <f>'Formato 6 a)'!E36</f>
        <v>3510240.9999999986</v>
      </c>
      <c r="T29" s="18">
        <f>'Formato 6 a)'!F36</f>
        <v>3283366.9999999986</v>
      </c>
      <c r="U29" s="18">
        <f>'Formato 6 a)'!G36</f>
        <v>29512091.909999996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43956676.800000042</v>
      </c>
      <c r="Q30" s="18">
        <f>'Formato 6 a)'!C37</f>
        <v>335886.47000000003</v>
      </c>
      <c r="R30" s="18">
        <f>'Formato 6 a)'!D37</f>
        <v>44292563.270000011</v>
      </c>
      <c r="S30" s="18">
        <f>'Formato 6 a)'!E37</f>
        <v>19733407.419999991</v>
      </c>
      <c r="T30" s="18">
        <f>'Formato 6 a)'!F37</f>
        <v>107901.31</v>
      </c>
      <c r="U30" s="18">
        <f>'Formato 6 a)'!G37</f>
        <v>24559155.85000002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104057716.83</v>
      </c>
      <c r="Q31" s="18">
        <f>'Formato 6 a)'!C38</f>
        <v>10052653.850000005</v>
      </c>
      <c r="R31" s="18">
        <f>'Formato 6 a)'!D38</f>
        <v>114110370.68000001</v>
      </c>
      <c r="S31" s="18">
        <f>'Formato 6 a)'!E38</f>
        <v>33304203.920000002</v>
      </c>
      <c r="T31" s="18">
        <f>'Formato 6 a)'!F38</f>
        <v>31812108.48</v>
      </c>
      <c r="U31" s="18">
        <f>'Formato 6 a)'!G38</f>
        <v>80806166.760000005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103967716.83</v>
      </c>
      <c r="Q35" s="18">
        <f>'Formato 6 a)'!C42</f>
        <v>10052653.850000005</v>
      </c>
      <c r="R35" s="18">
        <f>'Formato 6 a)'!D42</f>
        <v>114020370.68000001</v>
      </c>
      <c r="S35" s="18">
        <f>'Formato 6 a)'!E42</f>
        <v>33304203.920000002</v>
      </c>
      <c r="T35" s="18">
        <f>'Formato 6 a)'!F42</f>
        <v>31812108.48</v>
      </c>
      <c r="U35" s="18">
        <f>'Formato 6 a)'!G42</f>
        <v>80716166.760000005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90000</v>
      </c>
      <c r="Q39" s="18">
        <f>'Formato 6 a)'!C46</f>
        <v>0</v>
      </c>
      <c r="R39" s="18">
        <f>'Formato 6 a)'!D46</f>
        <v>90000</v>
      </c>
      <c r="S39" s="18">
        <f>'Formato 6 a)'!E46</f>
        <v>0</v>
      </c>
      <c r="T39" s="18">
        <f>'Formato 6 a)'!F46</f>
        <v>0</v>
      </c>
      <c r="U39" s="18">
        <f>'Formato 6 a)'!G46</f>
        <v>90000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213706768.25</v>
      </c>
      <c r="Q41" s="18">
        <f>'Formato 6 a)'!C48</f>
        <v>-41127667.150000013</v>
      </c>
      <c r="R41" s="18">
        <f>'Formato 6 a)'!D48</f>
        <v>172579101.10000002</v>
      </c>
      <c r="S41" s="18">
        <f>'Formato 6 a)'!E48</f>
        <v>14487375.050000001</v>
      </c>
      <c r="T41" s="18">
        <f>'Formato 6 a)'!F48</f>
        <v>14053681.620000003</v>
      </c>
      <c r="U41" s="18">
        <f>'Formato 6 a)'!G48</f>
        <v>158091726.05000001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116826179.29000001</v>
      </c>
      <c r="Q42" s="18">
        <f>'Formato 6 a)'!C49</f>
        <v>-43597532.550000012</v>
      </c>
      <c r="R42" s="18">
        <f>'Formato 6 a)'!D49</f>
        <v>73228646.74000001</v>
      </c>
      <c r="S42" s="18">
        <f>'Formato 6 a)'!E49</f>
        <v>5494824.0200000014</v>
      </c>
      <c r="T42" s="18">
        <f>'Formato 6 a)'!F49</f>
        <v>5384160.1400000006</v>
      </c>
      <c r="U42" s="18">
        <f>'Formato 6 a)'!G49</f>
        <v>67733822.720000014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6998261.3100000005</v>
      </c>
      <c r="Q43" s="18">
        <f>'Formato 6 a)'!C50</f>
        <v>4386498.2600000007</v>
      </c>
      <c r="R43" s="18">
        <f>'Formato 6 a)'!D50</f>
        <v>11384759.570000002</v>
      </c>
      <c r="S43" s="18">
        <f>'Formato 6 a)'!E50</f>
        <v>2844676.88</v>
      </c>
      <c r="T43" s="18">
        <f>'Formato 6 a)'!F50</f>
        <v>2750625.89</v>
      </c>
      <c r="U43" s="18">
        <f>'Formato 6 a)'!G50</f>
        <v>8540082.6900000013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64071487.920000002</v>
      </c>
      <c r="Q44" s="18">
        <f>'Formato 6 a)'!C51</f>
        <v>-7376599.3399999971</v>
      </c>
      <c r="R44" s="18">
        <f>'Formato 6 a)'!D51</f>
        <v>56694888.579999991</v>
      </c>
      <c r="S44" s="18">
        <f>'Formato 6 a)'!E51</f>
        <v>3079478.6599999997</v>
      </c>
      <c r="T44" s="18">
        <f>'Formato 6 a)'!F51</f>
        <v>2932049.1399999997</v>
      </c>
      <c r="U44" s="18">
        <f>'Formato 6 a)'!G51</f>
        <v>53615409.919999994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11555700</v>
      </c>
      <c r="Q45" s="18">
        <f>'Formato 6 a)'!C52</f>
        <v>323270.81999999995</v>
      </c>
      <c r="R45" s="18">
        <f>'Formato 6 a)'!D52</f>
        <v>11878970.820000002</v>
      </c>
      <c r="S45" s="18">
        <f>'Formato 6 a)'!E52</f>
        <v>0</v>
      </c>
      <c r="T45" s="18">
        <f>'Formato 6 a)'!F52</f>
        <v>0</v>
      </c>
      <c r="U45" s="18">
        <f>'Formato 6 a)'!G52</f>
        <v>11878970.820000002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13611265.73</v>
      </c>
      <c r="Q47" s="18">
        <f>'Formato 6 a)'!C54</f>
        <v>4950548.9099999983</v>
      </c>
      <c r="R47" s="18">
        <f>'Formato 6 a)'!D54</f>
        <v>18561814.640000004</v>
      </c>
      <c r="S47" s="18">
        <f>'Formato 6 a)'!E54</f>
        <v>2921350.27</v>
      </c>
      <c r="T47" s="18">
        <f>'Formato 6 a)'!F54</f>
        <v>2839801.23</v>
      </c>
      <c r="U47" s="18">
        <f>'Formato 6 a)'!G54</f>
        <v>15640464.370000005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643874</v>
      </c>
      <c r="Q50" s="18">
        <f>'Formato 6 a)'!C57</f>
        <v>186146.75</v>
      </c>
      <c r="R50" s="18">
        <f>'Formato 6 a)'!D57</f>
        <v>830020.75</v>
      </c>
      <c r="S50" s="18">
        <f>'Formato 6 a)'!E57</f>
        <v>147045.22</v>
      </c>
      <c r="T50" s="18">
        <f>'Formato 6 a)'!F57</f>
        <v>147045.22</v>
      </c>
      <c r="U50" s="18">
        <f>'Formato 6 a)'!G57</f>
        <v>682975.53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233748799.78</v>
      </c>
      <c r="Q51" s="18">
        <f>'Formato 6 a)'!C58</f>
        <v>-161469397.15000001</v>
      </c>
      <c r="R51" s="18">
        <f>'Formato 6 a)'!D58</f>
        <v>72279402.63000001</v>
      </c>
      <c r="S51" s="18">
        <f>'Formato 6 a)'!E58</f>
        <v>14145979.709999999</v>
      </c>
      <c r="T51" s="18">
        <f>'Formato 6 a)'!F58</f>
        <v>14145979.709999999</v>
      </c>
      <c r="U51" s="18">
        <f>'Formato 6 a)'!G58</f>
        <v>58133422.920000009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233748799.78</v>
      </c>
      <c r="Q53" s="18">
        <f>'Formato 6 a)'!C60</f>
        <v>-161469397.15000001</v>
      </c>
      <c r="R53" s="18">
        <f>'Formato 6 a)'!D60</f>
        <v>72279402.63000001</v>
      </c>
      <c r="S53" s="18">
        <f>'Formato 6 a)'!E60</f>
        <v>14145979.709999999</v>
      </c>
      <c r="T53" s="18">
        <f>'Formato 6 a)'!F60</f>
        <v>14145979.709999999</v>
      </c>
      <c r="U53" s="18">
        <f>'Formato 6 a)'!G60</f>
        <v>58133422.920000009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3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2005919172.71</v>
      </c>
      <c r="Q76">
        <f>'Formato 6 a)'!C84</f>
        <v>118758783.98999995</v>
      </c>
      <c r="R76">
        <f>'Formato 6 a)'!D84</f>
        <v>2124677956.7000005</v>
      </c>
      <c r="S76">
        <f>'Formato 6 a)'!E84</f>
        <v>855067805.32000041</v>
      </c>
      <c r="T76">
        <f>'Formato 6 a)'!F84</f>
        <v>847347634.50000083</v>
      </c>
      <c r="U76">
        <f>'Formato 6 a)'!G84</f>
        <v>1269610151.3800004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1787651320.47</v>
      </c>
      <c r="Q77">
        <f>'Formato 6 a)'!C85</f>
        <v>-1035220.9300000602</v>
      </c>
      <c r="R77">
        <f>'Formato 6 a)'!D85</f>
        <v>1786616099.5400007</v>
      </c>
      <c r="S77">
        <f>'Formato 6 a)'!E85</f>
        <v>808101588.40000045</v>
      </c>
      <c r="T77">
        <f>'Formato 6 a)'!F85</f>
        <v>801997589.20000076</v>
      </c>
      <c r="U77">
        <f>'Formato 6 a)'!G85</f>
        <v>978514511.1400001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490463555.50999981</v>
      </c>
      <c r="Q78">
        <f>'Formato 6 a)'!C86</f>
        <v>1680885.450000003</v>
      </c>
      <c r="R78">
        <f>'Formato 6 a)'!D86</f>
        <v>492144440.96000022</v>
      </c>
      <c r="S78">
        <f>'Formato 6 a)'!E86</f>
        <v>247235797.71999994</v>
      </c>
      <c r="T78">
        <f>'Formato 6 a)'!F86</f>
        <v>247222842.06999996</v>
      </c>
      <c r="U78">
        <f>'Formato 6 a)'!G86</f>
        <v>244908643.24000028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29023255.43</v>
      </c>
      <c r="Q79">
        <f>'Formato 6 a)'!C87</f>
        <v>11184950.710000001</v>
      </c>
      <c r="R79">
        <f>'Formato 6 a)'!D87</f>
        <v>40208206.139999993</v>
      </c>
      <c r="S79">
        <f>'Formato 6 a)'!E87</f>
        <v>32184786.800000001</v>
      </c>
      <c r="T79">
        <f>'Formato 6 a)'!F87</f>
        <v>32184786.189999998</v>
      </c>
      <c r="U79">
        <f>'Formato 6 a)'!G87</f>
        <v>8023419.3399999924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229008695.17999956</v>
      </c>
      <c r="Q80">
        <f>'Formato 6 a)'!C88</f>
        <v>9399070.6699999943</v>
      </c>
      <c r="R80">
        <f>'Formato 6 a)'!D88</f>
        <v>238407765.84999982</v>
      </c>
      <c r="S80">
        <f>'Formato 6 a)'!E88</f>
        <v>71917206.660000011</v>
      </c>
      <c r="T80">
        <f>'Formato 6 a)'!F88</f>
        <v>71883291.870000064</v>
      </c>
      <c r="U80">
        <f>'Formato 6 a)'!G88</f>
        <v>166490559.18999982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261584106.17999998</v>
      </c>
      <c r="Q81">
        <f>'Formato 6 a)'!C89</f>
        <v>2952078.67</v>
      </c>
      <c r="R81">
        <f>'Formato 6 a)'!D89</f>
        <v>264536184.84999996</v>
      </c>
      <c r="S81">
        <f>'Formato 6 a)'!E89</f>
        <v>112608649.88</v>
      </c>
      <c r="T81">
        <f>'Formato 6 a)'!F89</f>
        <v>111372257.76000002</v>
      </c>
      <c r="U81">
        <f>'Formato 6 a)'!G89</f>
        <v>151927534.96999997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551009622.65000033</v>
      </c>
      <c r="Q82">
        <f>'Formato 6 a)'!C90</f>
        <v>-22449676.77999999</v>
      </c>
      <c r="R82">
        <f>'Formato 6 a)'!D90</f>
        <v>528559945.87000048</v>
      </c>
      <c r="S82">
        <f>'Formato 6 a)'!E90</f>
        <v>239698554.89000043</v>
      </c>
      <c r="T82">
        <f>'Formato 6 a)'!F90</f>
        <v>234877819.15000054</v>
      </c>
      <c r="U82">
        <f>'Formato 6 a)'!G90</f>
        <v>288861390.98000002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226562085.52000016</v>
      </c>
      <c r="Q84">
        <f>'Formato 6 a)'!C92</f>
        <v>-3802529.6500000702</v>
      </c>
      <c r="R84">
        <f>'Formato 6 a)'!D92</f>
        <v>222759555.87000015</v>
      </c>
      <c r="S84">
        <f>'Formato 6 a)'!E92</f>
        <v>104456592.45000003</v>
      </c>
      <c r="T84">
        <f>'Formato 6 a)'!F92</f>
        <v>104456592.16000004</v>
      </c>
      <c r="U84">
        <f>'Formato 6 a)'!G92</f>
        <v>118302963.42000012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61029740.469999991</v>
      </c>
      <c r="Q85">
        <f>'Formato 6 a)'!C93</f>
        <v>13494072.659999996</v>
      </c>
      <c r="R85">
        <f>'Formato 6 a)'!D93</f>
        <v>74523813.129999995</v>
      </c>
      <c r="S85">
        <f>'Formato 6 a)'!E93</f>
        <v>15733518.300000001</v>
      </c>
      <c r="T85">
        <f>'Formato 6 a)'!F93</f>
        <v>15016689.969999995</v>
      </c>
      <c r="U85">
        <f>'Formato 6 a)'!G93</f>
        <v>58790294.829999998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16160960.009999996</v>
      </c>
      <c r="Q86">
        <f>'Formato 6 a)'!C94</f>
        <v>6595530.2699999921</v>
      </c>
      <c r="R86">
        <f>'Formato 6 a)'!D94</f>
        <v>22756490.279999986</v>
      </c>
      <c r="S86">
        <f>'Formato 6 a)'!E94</f>
        <v>5349194.6199999992</v>
      </c>
      <c r="T86">
        <f>'Formato 6 a)'!F94</f>
        <v>5090322.3699999973</v>
      </c>
      <c r="U86">
        <f>'Formato 6 a)'!G94</f>
        <v>17407295.659999989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5543746</v>
      </c>
      <c r="Q87">
        <f>'Formato 6 a)'!C95</f>
        <v>-381692.6100000001</v>
      </c>
      <c r="R87">
        <f>'Formato 6 a)'!D95</f>
        <v>5162053.3900000006</v>
      </c>
      <c r="S87">
        <f>'Formato 6 a)'!E95</f>
        <v>1493930.2599999998</v>
      </c>
      <c r="T87">
        <f>'Formato 6 a)'!F95</f>
        <v>1466977.9899999995</v>
      </c>
      <c r="U87">
        <f>'Formato 6 a)'!G95</f>
        <v>3668123.1300000008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3096950.2500000005</v>
      </c>
      <c r="Q89">
        <f>'Formato 6 a)'!C97</f>
        <v>875754.79999999993</v>
      </c>
      <c r="R89">
        <f>'Formato 6 a)'!D97</f>
        <v>3972705.0499999993</v>
      </c>
      <c r="S89">
        <f>'Formato 6 a)'!E97</f>
        <v>1715393.3100000005</v>
      </c>
      <c r="T89">
        <f>'Formato 6 a)'!F97</f>
        <v>1609761.7200000002</v>
      </c>
      <c r="U89">
        <f>'Formato 6 a)'!G97</f>
        <v>2257311.7399999988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21904432.120000001</v>
      </c>
      <c r="Q90">
        <f>'Formato 6 a)'!C98</f>
        <v>6077101.8600000041</v>
      </c>
      <c r="R90">
        <f>'Formato 6 a)'!D98</f>
        <v>27981533.980000004</v>
      </c>
      <c r="S90">
        <f>'Formato 6 a)'!E98</f>
        <v>2693541.1199999987</v>
      </c>
      <c r="T90">
        <f>'Formato 6 a)'!F98</f>
        <v>2499156.5699999994</v>
      </c>
      <c r="U90">
        <f>'Formato 6 a)'!G98</f>
        <v>25287992.860000007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9813646.1399999987</v>
      </c>
      <c r="Q91">
        <f>'Formato 6 a)'!C99</f>
        <v>-571015.08000000042</v>
      </c>
      <c r="R91">
        <f>'Formato 6 a)'!D99</f>
        <v>9242631.0600000042</v>
      </c>
      <c r="S91">
        <f>'Formato 6 a)'!E99</f>
        <v>2599544.5500000007</v>
      </c>
      <c r="T91">
        <f>'Formato 6 a)'!F99</f>
        <v>2578061.4800000004</v>
      </c>
      <c r="U91">
        <f>'Formato 6 a)'!G99</f>
        <v>6643086.5100000035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298516.89999999997</v>
      </c>
      <c r="Q92">
        <f>'Formato 6 a)'!C100</f>
        <v>627412.62999999989</v>
      </c>
      <c r="R92">
        <f>'Formato 6 a)'!D100</f>
        <v>925929.52999999991</v>
      </c>
      <c r="S92">
        <f>'Formato 6 a)'!E100</f>
        <v>467710.98000000004</v>
      </c>
      <c r="T92">
        <f>'Formato 6 a)'!F100</f>
        <v>452684.69</v>
      </c>
      <c r="U92">
        <f>'Formato 6 a)'!G100</f>
        <v>458218.54999999987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4211489.05</v>
      </c>
      <c r="Q94">
        <f>'Formato 6 a)'!C102</f>
        <v>270980.78999999998</v>
      </c>
      <c r="R94">
        <f>'Formato 6 a)'!D102</f>
        <v>4482469.839999998</v>
      </c>
      <c r="S94">
        <f>'Formato 6 a)'!E102</f>
        <v>1414203.46</v>
      </c>
      <c r="T94">
        <f>'Formato 6 a)'!F102</f>
        <v>1319725.1499999999</v>
      </c>
      <c r="U94">
        <f>'Formato 6 a)'!G102</f>
        <v>3068266.379999998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77756530.539999977</v>
      </c>
      <c r="Q95">
        <f>'Formato 6 a)'!C103</f>
        <v>35824320.459999993</v>
      </c>
      <c r="R95">
        <f>'Formato 6 a)'!D103</f>
        <v>113580851</v>
      </c>
      <c r="S95">
        <f>'Formato 6 a)'!E103</f>
        <v>19908170.689999998</v>
      </c>
      <c r="T95">
        <f>'Formato 6 a)'!F103</f>
        <v>19614376.199999999</v>
      </c>
      <c r="U95">
        <f>'Formato 6 a)'!G103</f>
        <v>93672680.309999987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38215073.329999991</v>
      </c>
      <c r="Q96">
        <f>'Formato 6 a)'!C104</f>
        <v>-1063043.4000000004</v>
      </c>
      <c r="R96">
        <f>'Formato 6 a)'!D104</f>
        <v>37152029.93</v>
      </c>
      <c r="S96">
        <f>'Formato 6 a)'!E104</f>
        <v>12710376.749999998</v>
      </c>
      <c r="T96">
        <f>'Formato 6 a)'!F104</f>
        <v>12605054.559999999</v>
      </c>
      <c r="U96">
        <f>'Formato 6 a)'!G104</f>
        <v>24441653.18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14149399.970000001</v>
      </c>
      <c r="Q97">
        <f>'Formato 6 a)'!C105</f>
        <v>122376.90000000007</v>
      </c>
      <c r="R97">
        <f>'Formato 6 a)'!D105</f>
        <v>14271776.870000001</v>
      </c>
      <c r="S97">
        <f>'Formato 6 a)'!E105</f>
        <v>3059270.1</v>
      </c>
      <c r="T97">
        <f>'Formato 6 a)'!F105</f>
        <v>3056107.5</v>
      </c>
      <c r="U97">
        <f>'Formato 6 a)'!G105</f>
        <v>11212506.770000001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8236995.5099999998</v>
      </c>
      <c r="Q98">
        <f>'Formato 6 a)'!C106</f>
        <v>2531222.149999999</v>
      </c>
      <c r="R98">
        <f>'Formato 6 a)'!D106</f>
        <v>10768217.660000002</v>
      </c>
      <c r="S98">
        <f>'Formato 6 a)'!E106</f>
        <v>1296293.98</v>
      </c>
      <c r="T98">
        <f>'Formato 6 a)'!F106</f>
        <v>1255493.98</v>
      </c>
      <c r="U98">
        <f>'Formato 6 a)'!G106</f>
        <v>9471923.6800000016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1412984.2600000002</v>
      </c>
      <c r="Q99">
        <f>'Formato 6 a)'!C107</f>
        <v>5144805.83</v>
      </c>
      <c r="R99">
        <f>'Formato 6 a)'!D107</f>
        <v>6557790.0900000008</v>
      </c>
      <c r="S99">
        <f>'Formato 6 a)'!E107</f>
        <v>87568.21</v>
      </c>
      <c r="T99">
        <f>'Formato 6 a)'!F107</f>
        <v>87568.21</v>
      </c>
      <c r="U99">
        <f>'Formato 6 a)'!G107</f>
        <v>6470221.8800000008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5761074.6399999997</v>
      </c>
      <c r="Q100">
        <f>'Formato 6 a)'!C108</f>
        <v>514768.56000000011</v>
      </c>
      <c r="R100">
        <f>'Formato 6 a)'!D108</f>
        <v>6275843.1999999974</v>
      </c>
      <c r="S100">
        <f>'Formato 6 a)'!E108</f>
        <v>1500237.72</v>
      </c>
      <c r="T100">
        <f>'Formato 6 a)'!F108</f>
        <v>1420781.95</v>
      </c>
      <c r="U100">
        <f>'Formato 6 a)'!G108</f>
        <v>4775605.4799999977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547397.53</v>
      </c>
      <c r="R101">
        <f>'Formato 6 a)'!D109</f>
        <v>547397.53</v>
      </c>
      <c r="S101">
        <f>'Formato 6 a)'!E109</f>
        <v>55947.56</v>
      </c>
      <c r="T101">
        <f>'Formato 6 a)'!F109</f>
        <v>55947.56</v>
      </c>
      <c r="U101">
        <f>'Formato 6 a)'!G109</f>
        <v>491449.97000000003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9299382.620000001</v>
      </c>
      <c r="Q102">
        <f>'Formato 6 a)'!C110</f>
        <v>27141312.23</v>
      </c>
      <c r="R102">
        <f>'Formato 6 a)'!D110</f>
        <v>36440694.850000001</v>
      </c>
      <c r="S102">
        <f>'Formato 6 a)'!E110</f>
        <v>1100621.6200000001</v>
      </c>
      <c r="T102">
        <f>'Formato 6 a)'!F110</f>
        <v>1037842.6900000002</v>
      </c>
      <c r="U102">
        <f>'Formato 6 a)'!G110</f>
        <v>35340073.230000004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450000</v>
      </c>
      <c r="Q103">
        <f>'Formato 6 a)'!C111</f>
        <v>926680.94</v>
      </c>
      <c r="R103">
        <f>'Formato 6 a)'!D111</f>
        <v>1376680.9400000002</v>
      </c>
      <c r="S103">
        <f>'Formato 6 a)'!E111</f>
        <v>69922.73000000001</v>
      </c>
      <c r="T103">
        <f>'Formato 6 a)'!F111</f>
        <v>69922.73000000001</v>
      </c>
      <c r="U103">
        <f>'Formato 6 a)'!G111</f>
        <v>1306758.2100000002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231620.20999999996</v>
      </c>
      <c r="Q104">
        <f>'Formato 6 a)'!C112</f>
        <v>-41200.28</v>
      </c>
      <c r="R104">
        <f>'Formato 6 a)'!D112</f>
        <v>190419.93</v>
      </c>
      <c r="S104">
        <f>'Formato 6 a)'!E112</f>
        <v>27932.02</v>
      </c>
      <c r="T104">
        <f>'Formato 6 a)'!F112</f>
        <v>25657.02</v>
      </c>
      <c r="U104">
        <f>'Formato 6 a)'!G112</f>
        <v>162487.91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13384566.699999999</v>
      </c>
      <c r="Q105">
        <f>'Formato 6 a)'!C113</f>
        <v>29307257.310000002</v>
      </c>
      <c r="R105">
        <f>'Formato 6 a)'!D113</f>
        <v>42691824.010000005</v>
      </c>
      <c r="S105">
        <f>'Formato 6 a)'!E113</f>
        <v>2944673.59</v>
      </c>
      <c r="T105">
        <f>'Formato 6 a)'!F113</f>
        <v>2772599.5200000005</v>
      </c>
      <c r="U105">
        <f>'Formato 6 a)'!G113</f>
        <v>39747150.420000002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13384566.699999999</v>
      </c>
      <c r="Q109">
        <f>'Formato 6 a)'!C117</f>
        <v>29307257.310000002</v>
      </c>
      <c r="R109">
        <f>'Formato 6 a)'!D117</f>
        <v>42691824.010000005</v>
      </c>
      <c r="S109">
        <f>'Formato 6 a)'!E117</f>
        <v>2944673.59</v>
      </c>
      <c r="T109">
        <f>'Formato 6 a)'!F117</f>
        <v>2772599.5200000005</v>
      </c>
      <c r="U109">
        <f>'Formato 6 a)'!G117</f>
        <v>39747150.420000002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42429445.799999997</v>
      </c>
      <c r="Q115">
        <f>'Formato 6 a)'!C123</f>
        <v>28657192.140000004</v>
      </c>
      <c r="R115">
        <f>'Formato 6 a)'!D123</f>
        <v>71086637.940000013</v>
      </c>
      <c r="S115">
        <f>'Formato 6 a)'!E123</f>
        <v>3665709.1899999985</v>
      </c>
      <c r="T115">
        <f>'Formato 6 a)'!F123</f>
        <v>3232234.4599999986</v>
      </c>
      <c r="U115">
        <f>'Formato 6 a)'!G123</f>
        <v>67420928.750000015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8277543.7999999998</v>
      </c>
      <c r="Q116">
        <f>'Formato 6 a)'!C124</f>
        <v>13368880.720000003</v>
      </c>
      <c r="R116">
        <f>'Formato 6 a)'!D124</f>
        <v>21646424.520000003</v>
      </c>
      <c r="S116">
        <f>'Formato 6 a)'!E124</f>
        <v>2554098.0299999989</v>
      </c>
      <c r="T116">
        <f>'Formato 6 a)'!F124</f>
        <v>2200805.379999999</v>
      </c>
      <c r="U116">
        <f>'Formato 6 a)'!G124</f>
        <v>19092326.490000006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100000</v>
      </c>
      <c r="Q117">
        <f>'Formato 6 a)'!C125</f>
        <v>450419.56</v>
      </c>
      <c r="R117">
        <f>'Formato 6 a)'!D125</f>
        <v>550419.56000000006</v>
      </c>
      <c r="S117">
        <f>'Formato 6 a)'!E125</f>
        <v>26394.92</v>
      </c>
      <c r="T117">
        <f>'Formato 6 a)'!F125</f>
        <v>26394.92</v>
      </c>
      <c r="U117">
        <f>'Formato 6 a)'!G125</f>
        <v>524024.64000000007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34051902</v>
      </c>
      <c r="Q118">
        <f>'Formato 6 a)'!C126</f>
        <v>12070176.780000003</v>
      </c>
      <c r="R118">
        <f>'Formato 6 a)'!D126</f>
        <v>46122078.780000009</v>
      </c>
      <c r="S118">
        <f>'Formato 6 a)'!E126</f>
        <v>512488.73999999993</v>
      </c>
      <c r="T118">
        <f>'Formato 6 a)'!F126</f>
        <v>441939.3</v>
      </c>
      <c r="U118">
        <f>'Formato 6 a)'!G126</f>
        <v>45609590.040000007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63349.79</v>
      </c>
      <c r="R119">
        <f>'Formato 6 a)'!D127</f>
        <v>63349.79</v>
      </c>
      <c r="S119">
        <f>'Formato 6 a)'!E127</f>
        <v>0</v>
      </c>
      <c r="T119">
        <f>'Formato 6 a)'!F127</f>
        <v>0</v>
      </c>
      <c r="U119">
        <f>'Formato 6 a)'!G127</f>
        <v>63349.79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2246796.66</v>
      </c>
      <c r="R121">
        <f>'Formato 6 a)'!D129</f>
        <v>2246796.66</v>
      </c>
      <c r="S121">
        <f>'Formato 6 a)'!E129</f>
        <v>499987.87</v>
      </c>
      <c r="T121">
        <f>'Formato 6 a)'!F129</f>
        <v>490355.23</v>
      </c>
      <c r="U121">
        <f>'Formato 6 a)'!G129</f>
        <v>1746808.79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36500</v>
      </c>
      <c r="R122">
        <f>'Formato 6 a)'!D130</f>
        <v>36500</v>
      </c>
      <c r="S122">
        <f>'Formato 6 a)'!E130</f>
        <v>0</v>
      </c>
      <c r="T122">
        <f>'Formato 6 a)'!F130</f>
        <v>0</v>
      </c>
      <c r="U122">
        <f>'Formato 6 a)'!G130</f>
        <v>36500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421068.62999999995</v>
      </c>
      <c r="R124">
        <f>'Formato 6 a)'!D132</f>
        <v>421068.62999999995</v>
      </c>
      <c r="S124">
        <f>'Formato 6 a)'!E132</f>
        <v>72739.63</v>
      </c>
      <c r="T124">
        <f>'Formato 6 a)'!F132</f>
        <v>72739.63</v>
      </c>
      <c r="U124">
        <f>'Formato 6 a)'!G132</f>
        <v>348328.99999999994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23667568.73</v>
      </c>
      <c r="Q125">
        <f>'Formato 6 a)'!C133</f>
        <v>12511162.350000001</v>
      </c>
      <c r="R125">
        <f>'Formato 6 a)'!D133</f>
        <v>36178731.079999998</v>
      </c>
      <c r="S125">
        <f>'Formato 6 a)'!E133</f>
        <v>4714145.1500000004</v>
      </c>
      <c r="T125">
        <f>'Formato 6 a)'!F133</f>
        <v>4714145.1500000004</v>
      </c>
      <c r="U125">
        <f>'Formato 6 a)'!G133</f>
        <v>31464585.93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23667568.73</v>
      </c>
      <c r="Q127">
        <f>'Formato 6 a)'!C135</f>
        <v>12511162.350000001</v>
      </c>
      <c r="R127">
        <f>'Formato 6 a)'!D135</f>
        <v>36178731.079999998</v>
      </c>
      <c r="S127">
        <f>'Formato 6 a)'!E135</f>
        <v>4714145.1500000004</v>
      </c>
      <c r="T127">
        <f>'Formato 6 a)'!F135</f>
        <v>4714145.1500000004</v>
      </c>
      <c r="U127">
        <f>'Formato 6 a)'!G135</f>
        <v>31464585.93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4007116009.9900002</v>
      </c>
      <c r="Q150">
        <f>'Formato 6 a)'!C159</f>
        <v>41578727.629999936</v>
      </c>
      <c r="R150">
        <f>'Formato 6 a)'!D159</f>
        <v>4048694737.6200018</v>
      </c>
      <c r="S150">
        <f>'Formato 6 a)'!E159</f>
        <v>1462274856.9700003</v>
      </c>
      <c r="T150">
        <f>'Formato 6 a)'!F159</f>
        <v>1420531388.5400009</v>
      </c>
      <c r="U150">
        <f>'Formato 6 a)'!G159</f>
        <v>2586419880.6500006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1"/>
  <dimension ref="A1:G31"/>
  <sheetViews>
    <sheetView showGridLines="0" zoomScale="90" zoomScaleNormal="90" workbookViewId="0">
      <selection activeCell="B12" sqref="B12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4" t="s">
        <v>3290</v>
      </c>
      <c r="B1" s="174"/>
      <c r="C1" s="174"/>
      <c r="D1" s="174"/>
      <c r="E1" s="174"/>
      <c r="F1" s="174"/>
      <c r="G1" s="174"/>
    </row>
    <row r="2" spans="1:7" ht="14.25" x14ac:dyDescent="0.45">
      <c r="A2" s="155" t="str">
        <f>ENTE_PUBLICO_A</f>
        <v>Universidad de Guanajuato, Gobierno del Estado de Guanajuato (a)</v>
      </c>
      <c r="B2" s="156"/>
      <c r="C2" s="156"/>
      <c r="D2" s="156"/>
      <c r="E2" s="156"/>
      <c r="F2" s="156"/>
      <c r="G2" s="157"/>
    </row>
    <row r="3" spans="1:7" x14ac:dyDescent="0.25">
      <c r="A3" s="158" t="s">
        <v>277</v>
      </c>
      <c r="B3" s="159"/>
      <c r="C3" s="159"/>
      <c r="D3" s="159"/>
      <c r="E3" s="159"/>
      <c r="F3" s="159"/>
      <c r="G3" s="160"/>
    </row>
    <row r="4" spans="1:7" x14ac:dyDescent="0.25">
      <c r="A4" s="158" t="s">
        <v>431</v>
      </c>
      <c r="B4" s="159"/>
      <c r="C4" s="159"/>
      <c r="D4" s="159"/>
      <c r="E4" s="159"/>
      <c r="F4" s="159"/>
      <c r="G4" s="160"/>
    </row>
    <row r="5" spans="1:7" ht="14.25" x14ac:dyDescent="0.45">
      <c r="A5" s="161" t="str">
        <f>TRIMESTRE</f>
        <v>Del 1 de enero al 30 de marzo de 2020 (b)</v>
      </c>
      <c r="B5" s="162"/>
      <c r="C5" s="162"/>
      <c r="D5" s="162"/>
      <c r="E5" s="162"/>
      <c r="F5" s="162"/>
      <c r="G5" s="163"/>
    </row>
    <row r="6" spans="1:7" ht="14.25" x14ac:dyDescent="0.45">
      <c r="A6" s="164" t="s">
        <v>118</v>
      </c>
      <c r="B6" s="165"/>
      <c r="C6" s="165"/>
      <c r="D6" s="165"/>
      <c r="E6" s="165"/>
      <c r="F6" s="165"/>
      <c r="G6" s="166"/>
    </row>
    <row r="7" spans="1:7" x14ac:dyDescent="0.25">
      <c r="A7" s="170" t="s">
        <v>0</v>
      </c>
      <c r="B7" s="172" t="s">
        <v>279</v>
      </c>
      <c r="C7" s="172"/>
      <c r="D7" s="172"/>
      <c r="E7" s="172"/>
      <c r="F7" s="172"/>
      <c r="G7" s="176" t="s">
        <v>280</v>
      </c>
    </row>
    <row r="8" spans="1:7" ht="30" x14ac:dyDescent="0.25">
      <c r="A8" s="171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5"/>
    </row>
    <row r="9" spans="1:7" ht="14.25" x14ac:dyDescent="0.45">
      <c r="A9" s="52" t="s">
        <v>440</v>
      </c>
      <c r="B9" s="59">
        <f>SUM(B10:GASTO_NE_FIN_01)</f>
        <v>2001196837.28</v>
      </c>
      <c r="C9" s="59">
        <f>SUM(C10:GASTO_NE_FIN_02)</f>
        <v>-77180056.360000104</v>
      </c>
      <c r="D9" s="59">
        <f>SUM(D10:GASTO_NE_FIN_03)</f>
        <v>1924016780.920001</v>
      </c>
      <c r="E9" s="59">
        <f>SUM(E10:GASTO_NE_FIN_04)</f>
        <v>607207051.64999974</v>
      </c>
      <c r="F9" s="59">
        <f>SUM(F10:GASTO_NE_FIN_05)</f>
        <v>573183754.04000008</v>
      </c>
      <c r="G9" s="59">
        <f>SUM(G10:GASTO_NE_FIN_06)</f>
        <v>1316809729.2700009</v>
      </c>
    </row>
    <row r="10" spans="1:7" s="24" customFormat="1" x14ac:dyDescent="0.25">
      <c r="A10" s="139" t="s">
        <v>432</v>
      </c>
      <c r="B10" s="145">
        <v>1275172204.54</v>
      </c>
      <c r="C10" s="145">
        <v>-241918172.70000008</v>
      </c>
      <c r="D10" s="145">
        <v>1033254031.8400013</v>
      </c>
      <c r="E10" s="145">
        <v>321626054.30999982</v>
      </c>
      <c r="F10" s="145">
        <v>310534106.50000006</v>
      </c>
      <c r="G10" s="145">
        <f>D10-E10</f>
        <v>711627977.53000152</v>
      </c>
    </row>
    <row r="11" spans="1:7" s="24" customFormat="1" x14ac:dyDescent="0.25">
      <c r="A11" s="139" t="s">
        <v>433</v>
      </c>
      <c r="B11" s="145">
        <v>234610154.84000003</v>
      </c>
      <c r="C11" s="145">
        <v>61718206.949999958</v>
      </c>
      <c r="D11" s="145">
        <v>296328361.78999984</v>
      </c>
      <c r="E11" s="145">
        <v>103488781.22999996</v>
      </c>
      <c r="F11" s="145">
        <v>94102683.470000073</v>
      </c>
      <c r="G11" s="145">
        <f t="shared" ref="G11:G17" si="0">D11-E11</f>
        <v>192839580.55999988</v>
      </c>
    </row>
    <row r="12" spans="1:7" s="24" customFormat="1" x14ac:dyDescent="0.25">
      <c r="A12" s="139" t="s">
        <v>434</v>
      </c>
      <c r="B12" s="145">
        <v>147766269.04000008</v>
      </c>
      <c r="C12" s="145">
        <v>57443000.650000006</v>
      </c>
      <c r="D12" s="145">
        <v>205209269.68999997</v>
      </c>
      <c r="E12" s="145">
        <v>54990451.860000007</v>
      </c>
      <c r="F12" s="145">
        <v>50800176.200000003</v>
      </c>
      <c r="G12" s="145">
        <f t="shared" si="0"/>
        <v>150218817.82999995</v>
      </c>
    </row>
    <row r="13" spans="1:7" s="24" customFormat="1" x14ac:dyDescent="0.25">
      <c r="A13" s="139" t="s">
        <v>435</v>
      </c>
      <c r="B13" s="145">
        <v>109663741.96000005</v>
      </c>
      <c r="C13" s="145">
        <v>19680279.100000001</v>
      </c>
      <c r="D13" s="145">
        <v>129344021.06000011</v>
      </c>
      <c r="E13" s="145">
        <v>47899223.499999955</v>
      </c>
      <c r="F13" s="145">
        <v>44677372.139999956</v>
      </c>
      <c r="G13" s="145">
        <f t="shared" si="0"/>
        <v>81444797.560000151</v>
      </c>
    </row>
    <row r="14" spans="1:7" s="24" customFormat="1" x14ac:dyDescent="0.25">
      <c r="A14" s="139" t="s">
        <v>436</v>
      </c>
      <c r="B14" s="145">
        <v>77597386.310000002</v>
      </c>
      <c r="C14" s="145">
        <v>4415803.870000001</v>
      </c>
      <c r="D14" s="145">
        <v>82013190.179999977</v>
      </c>
      <c r="E14" s="145">
        <v>24471756.300000001</v>
      </c>
      <c r="F14" s="145">
        <v>22617052.249999996</v>
      </c>
      <c r="G14" s="145">
        <f t="shared" si="0"/>
        <v>57541433.87999998</v>
      </c>
    </row>
    <row r="15" spans="1:7" s="24" customFormat="1" x14ac:dyDescent="0.25">
      <c r="A15" s="139" t="s">
        <v>437</v>
      </c>
      <c r="B15" s="145">
        <v>156387080.58999991</v>
      </c>
      <c r="C15" s="145">
        <v>21480825.770000007</v>
      </c>
      <c r="D15" s="145">
        <v>177867906.35999966</v>
      </c>
      <c r="E15" s="145">
        <v>54730784.45000004</v>
      </c>
      <c r="F15" s="145">
        <v>50452363.480000004</v>
      </c>
      <c r="G15" s="145">
        <f t="shared" si="0"/>
        <v>123137121.90999961</v>
      </c>
    </row>
    <row r="16" spans="1:7" s="24" customFormat="1" x14ac:dyDescent="0.25">
      <c r="A16" s="139" t="s">
        <v>438</v>
      </c>
      <c r="B16" s="145">
        <v>0</v>
      </c>
      <c r="C16" s="145">
        <v>0</v>
      </c>
      <c r="D16" s="145">
        <v>0</v>
      </c>
      <c r="E16" s="145">
        <v>0</v>
      </c>
      <c r="F16" s="145">
        <v>0</v>
      </c>
      <c r="G16" s="145">
        <f t="shared" si="0"/>
        <v>0</v>
      </c>
    </row>
    <row r="17" spans="1:7" s="24" customFormat="1" x14ac:dyDescent="0.25">
      <c r="A17" s="139" t="s">
        <v>439</v>
      </c>
      <c r="B17" s="145">
        <v>0</v>
      </c>
      <c r="C17" s="145">
        <v>0</v>
      </c>
      <c r="D17" s="145">
        <v>0</v>
      </c>
      <c r="E17" s="145">
        <v>0</v>
      </c>
      <c r="F17" s="145">
        <v>0</v>
      </c>
      <c r="G17" s="145">
        <f t="shared" si="0"/>
        <v>0</v>
      </c>
    </row>
    <row r="18" spans="1:7" ht="14.25" x14ac:dyDescent="0.45">
      <c r="A18" s="73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2005919172.7099984</v>
      </c>
      <c r="C19" s="61">
        <f>SUM(C20:GASTO_E_FIN_02)</f>
        <v>118758783.99000026</v>
      </c>
      <c r="D19" s="61">
        <f>SUM(D20:GASTO_E_FIN_03)</f>
        <v>2124677956.7000017</v>
      </c>
      <c r="E19" s="61">
        <f>SUM(E20:GASTO_E_FIN_04)</f>
        <v>855067805.31999969</v>
      </c>
      <c r="F19" s="61">
        <f>SUM(F20:GASTO_E_FIN_05)</f>
        <v>847347634.5</v>
      </c>
      <c r="G19" s="61">
        <f>SUM(G20:GASTO_E_FIN_06)</f>
        <v>1269610151.380002</v>
      </c>
    </row>
    <row r="20" spans="1:7" s="24" customFormat="1" x14ac:dyDescent="0.25">
      <c r="A20" s="139" t="s">
        <v>432</v>
      </c>
      <c r="B20" s="145">
        <v>607642862.71999967</v>
      </c>
      <c r="C20" s="145">
        <v>-12258607.340000022</v>
      </c>
      <c r="D20" s="145">
        <v>595384255.38000011</v>
      </c>
      <c r="E20" s="145">
        <v>133240699.37000003</v>
      </c>
      <c r="F20" s="145">
        <v>131838374.07000004</v>
      </c>
      <c r="G20" s="145">
        <f>D20-E20</f>
        <v>462143556.01000011</v>
      </c>
    </row>
    <row r="21" spans="1:7" s="24" customFormat="1" x14ac:dyDescent="0.25">
      <c r="A21" s="139" t="s">
        <v>433</v>
      </c>
      <c r="B21" s="145">
        <v>609497091.79999888</v>
      </c>
      <c r="C21" s="145">
        <v>45400668.34000016</v>
      </c>
      <c r="D21" s="145">
        <v>654897760.14000154</v>
      </c>
      <c r="E21" s="145">
        <v>309937050.13</v>
      </c>
      <c r="F21" s="145">
        <v>306643323.37000006</v>
      </c>
      <c r="G21" s="145">
        <f t="shared" ref="G21:G27" si="1">D21-E21</f>
        <v>344960710.01000154</v>
      </c>
    </row>
    <row r="22" spans="1:7" s="24" customFormat="1" x14ac:dyDescent="0.25">
      <c r="A22" s="139" t="s">
        <v>434</v>
      </c>
      <c r="B22" s="145">
        <v>230894836.76000008</v>
      </c>
      <c r="C22" s="145">
        <v>47431421.280000135</v>
      </c>
      <c r="D22" s="145">
        <v>278326258.0400002</v>
      </c>
      <c r="E22" s="145">
        <v>118862788.30999982</v>
      </c>
      <c r="F22" s="145">
        <v>117685052.92999989</v>
      </c>
      <c r="G22" s="145">
        <f t="shared" si="1"/>
        <v>159463469.73000038</v>
      </c>
    </row>
    <row r="23" spans="1:7" s="24" customFormat="1" x14ac:dyDescent="0.25">
      <c r="A23" s="139" t="s">
        <v>435</v>
      </c>
      <c r="B23" s="145">
        <v>201951105.56999999</v>
      </c>
      <c r="C23" s="145">
        <v>22409429.479999989</v>
      </c>
      <c r="D23" s="145">
        <v>224360535.04999992</v>
      </c>
      <c r="E23" s="145">
        <v>106353668.91999999</v>
      </c>
      <c r="F23" s="145">
        <v>105769219.50999998</v>
      </c>
      <c r="G23" s="145">
        <f t="shared" si="1"/>
        <v>118006866.12999994</v>
      </c>
    </row>
    <row r="24" spans="1:7" s="24" customFormat="1" x14ac:dyDescent="0.25">
      <c r="A24" s="139" t="s">
        <v>436</v>
      </c>
      <c r="B24" s="145">
        <v>124916849.22000004</v>
      </c>
      <c r="C24" s="145">
        <v>8410738.8700000029</v>
      </c>
      <c r="D24" s="145">
        <v>133327588.09000008</v>
      </c>
      <c r="E24" s="145">
        <v>67957568.949999943</v>
      </c>
      <c r="F24" s="145">
        <v>67466588.549999952</v>
      </c>
      <c r="G24" s="145">
        <f t="shared" si="1"/>
        <v>65370019.140000135</v>
      </c>
    </row>
    <row r="25" spans="1:7" s="24" customFormat="1" x14ac:dyDescent="0.25">
      <c r="A25" s="139" t="s">
        <v>437</v>
      </c>
      <c r="B25" s="145">
        <v>231016426.63999993</v>
      </c>
      <c r="C25" s="145">
        <v>7365133.3599999957</v>
      </c>
      <c r="D25" s="145">
        <v>238381559.99999985</v>
      </c>
      <c r="E25" s="145">
        <v>118716029.64000005</v>
      </c>
      <c r="F25" s="145">
        <v>117945076.07000007</v>
      </c>
      <c r="G25" s="145">
        <f t="shared" si="1"/>
        <v>119665530.35999981</v>
      </c>
    </row>
    <row r="26" spans="1:7" s="24" customFormat="1" x14ac:dyDescent="0.25">
      <c r="A26" s="139" t="s">
        <v>438</v>
      </c>
      <c r="B26" s="145">
        <v>0</v>
      </c>
      <c r="C26" s="145">
        <v>0</v>
      </c>
      <c r="D26" s="145">
        <v>0</v>
      </c>
      <c r="E26" s="145">
        <v>0</v>
      </c>
      <c r="F26" s="145">
        <v>0</v>
      </c>
      <c r="G26" s="145">
        <f t="shared" si="1"/>
        <v>0</v>
      </c>
    </row>
    <row r="27" spans="1:7" s="24" customFormat="1" x14ac:dyDescent="0.25">
      <c r="A27" s="139" t="s">
        <v>439</v>
      </c>
      <c r="B27" s="145">
        <v>0</v>
      </c>
      <c r="C27" s="145">
        <v>0</v>
      </c>
      <c r="D27" s="145">
        <v>0</v>
      </c>
      <c r="E27" s="145">
        <v>0</v>
      </c>
      <c r="F27" s="145">
        <v>0</v>
      </c>
      <c r="G27" s="145">
        <f t="shared" si="1"/>
        <v>0</v>
      </c>
    </row>
    <row r="28" spans="1:7" x14ac:dyDescent="0.25">
      <c r="A28" s="73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4007116009.9899983</v>
      </c>
      <c r="C29" s="61">
        <f>GASTO_NE_T2+GASTO_E_T2</f>
        <v>41578727.630000159</v>
      </c>
      <c r="D29" s="61">
        <f>GASTO_NE_T3+GASTO_E_T3</f>
        <v>4048694737.6200027</v>
      </c>
      <c r="E29" s="61">
        <f>GASTO_NE_T4+GASTO_E_T4</f>
        <v>1462274856.9699993</v>
      </c>
      <c r="F29" s="61">
        <f>GASTO_NE_T5+GASTO_E_T5</f>
        <v>1420531388.54</v>
      </c>
      <c r="G29" s="61">
        <f>GASTO_NE_T6+GASTO_E_T6</f>
        <v>2586419880.650003</v>
      </c>
    </row>
    <row r="30" spans="1:7" x14ac:dyDescent="0.25">
      <c r="A30" s="58"/>
      <c r="B30" s="65"/>
      <c r="C30" s="65"/>
      <c r="D30" s="65"/>
      <c r="E30" s="65"/>
      <c r="F30" s="65"/>
      <c r="G30" s="75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 xr:uid="{00000000-0002-0000-0F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2001196837.28</v>
      </c>
      <c r="Q2" s="18">
        <f>GASTO_NE_T2</f>
        <v>-77180056.360000104</v>
      </c>
      <c r="R2" s="18">
        <f>GASTO_NE_T3</f>
        <v>1924016780.920001</v>
      </c>
      <c r="S2" s="18">
        <f>GASTO_NE_T4</f>
        <v>607207051.64999974</v>
      </c>
      <c r="T2" s="18">
        <f>GASTO_NE_T5</f>
        <v>573183754.04000008</v>
      </c>
      <c r="U2" s="18">
        <f>GASTO_NE_T6</f>
        <v>1316809729.2700009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2005919172.7099984</v>
      </c>
      <c r="Q3" s="18">
        <f>GASTO_E_T2</f>
        <v>118758783.99000026</v>
      </c>
      <c r="R3" s="18">
        <f>GASTO_E_T3</f>
        <v>2124677956.7000017</v>
      </c>
      <c r="S3" s="18">
        <f>GASTO_E_T4</f>
        <v>855067805.31999969</v>
      </c>
      <c r="T3" s="18">
        <f>GASTO_E_T5</f>
        <v>847347634.5</v>
      </c>
      <c r="U3" s="18">
        <f>GASTO_E_T6</f>
        <v>1269610151.380002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4007116009.9899983</v>
      </c>
      <c r="Q4" s="18">
        <f>TOTAL_E_T2</f>
        <v>41578727.630000159</v>
      </c>
      <c r="R4" s="18">
        <f>TOTAL_E_T3</f>
        <v>4048694737.6200027</v>
      </c>
      <c r="S4" s="18">
        <f>TOTAL_E_T4</f>
        <v>1462274856.9699993</v>
      </c>
      <c r="T4" s="18">
        <f>TOTAL_E_T5</f>
        <v>1420531388.54</v>
      </c>
      <c r="U4" s="18">
        <f>TOTAL_E_T6</f>
        <v>2586419880.650003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8"/>
  <dimension ref="A1:XFC78"/>
  <sheetViews>
    <sheetView showGridLines="0" topLeftCell="A7" zoomScale="90" zoomScaleNormal="90" workbookViewId="0">
      <selection activeCell="B9" sqref="B9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80" t="s">
        <v>3289</v>
      </c>
      <c r="B1" s="181"/>
      <c r="C1" s="181"/>
      <c r="D1" s="181"/>
      <c r="E1" s="181"/>
      <c r="F1" s="181"/>
      <c r="G1" s="181"/>
    </row>
    <row r="2" spans="1:7" ht="14.25" x14ac:dyDescent="0.45">
      <c r="A2" s="155" t="str">
        <f>ENTE_PUBLICO_A</f>
        <v>Universidad de Guanajuato, Gobierno del Estado de Guanajuato (a)</v>
      </c>
      <c r="B2" s="156"/>
      <c r="C2" s="156"/>
      <c r="D2" s="156"/>
      <c r="E2" s="156"/>
      <c r="F2" s="156"/>
      <c r="G2" s="157"/>
    </row>
    <row r="3" spans="1:7" x14ac:dyDescent="0.25">
      <c r="A3" s="158" t="s">
        <v>396</v>
      </c>
      <c r="B3" s="159"/>
      <c r="C3" s="159"/>
      <c r="D3" s="159"/>
      <c r="E3" s="159"/>
      <c r="F3" s="159"/>
      <c r="G3" s="160"/>
    </row>
    <row r="4" spans="1:7" x14ac:dyDescent="0.25">
      <c r="A4" s="158" t="s">
        <v>397</v>
      </c>
      <c r="B4" s="159"/>
      <c r="C4" s="159"/>
      <c r="D4" s="159"/>
      <c r="E4" s="159"/>
      <c r="F4" s="159"/>
      <c r="G4" s="160"/>
    </row>
    <row r="5" spans="1:7" ht="14.25" x14ac:dyDescent="0.45">
      <c r="A5" s="161" t="str">
        <f>TRIMESTRE</f>
        <v>Del 1 de enero al 30 de marzo de 2020 (b)</v>
      </c>
      <c r="B5" s="162"/>
      <c r="C5" s="162"/>
      <c r="D5" s="162"/>
      <c r="E5" s="162"/>
      <c r="F5" s="162"/>
      <c r="G5" s="163"/>
    </row>
    <row r="6" spans="1:7" ht="14.25" x14ac:dyDescent="0.45">
      <c r="A6" s="164" t="s">
        <v>118</v>
      </c>
      <c r="B6" s="165"/>
      <c r="C6" s="165"/>
      <c r="D6" s="165"/>
      <c r="E6" s="165"/>
      <c r="F6" s="165"/>
      <c r="G6" s="166"/>
    </row>
    <row r="7" spans="1:7" x14ac:dyDescent="0.25">
      <c r="A7" s="159" t="s">
        <v>0</v>
      </c>
      <c r="B7" s="164" t="s">
        <v>279</v>
      </c>
      <c r="C7" s="165"/>
      <c r="D7" s="165"/>
      <c r="E7" s="165"/>
      <c r="F7" s="166"/>
      <c r="G7" s="176" t="s">
        <v>3286</v>
      </c>
    </row>
    <row r="8" spans="1:7" ht="30.75" customHeight="1" x14ac:dyDescent="0.25">
      <c r="A8" s="159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5"/>
    </row>
    <row r="9" spans="1:7" ht="14.25" x14ac:dyDescent="0.45">
      <c r="A9" s="52" t="s">
        <v>363</v>
      </c>
      <c r="B9" s="69">
        <f>SUM(B10,B19,B27,B37)</f>
        <v>2001196837.2800021</v>
      </c>
      <c r="C9" s="69">
        <f t="shared" ref="C9:G9" si="0">SUM(C10,C19,C27,C37)</f>
        <v>-77180056.360000074</v>
      </c>
      <c r="D9" s="69">
        <f t="shared" si="0"/>
        <v>1924016780.9200056</v>
      </c>
      <c r="E9" s="69">
        <f t="shared" si="0"/>
        <v>607207051.64999938</v>
      </c>
      <c r="F9" s="69">
        <f t="shared" si="0"/>
        <v>573183754.03999972</v>
      </c>
      <c r="G9" s="69">
        <f t="shared" si="0"/>
        <v>1316809729.2700059</v>
      </c>
    </row>
    <row r="10" spans="1:7" x14ac:dyDescent="0.25">
      <c r="A10" s="53" t="s">
        <v>364</v>
      </c>
      <c r="B10" s="149">
        <f>SUM(B11:B18)</f>
        <v>0</v>
      </c>
      <c r="C10" s="149">
        <f t="shared" ref="C10:F10" si="1">SUM(C11:C18)</f>
        <v>0</v>
      </c>
      <c r="D10" s="149">
        <f t="shared" si="1"/>
        <v>0</v>
      </c>
      <c r="E10" s="149">
        <f t="shared" si="1"/>
        <v>0</v>
      </c>
      <c r="F10" s="149">
        <f t="shared" si="1"/>
        <v>0</v>
      </c>
      <c r="G10" s="149">
        <f>SUM(G11:G18)</f>
        <v>0</v>
      </c>
    </row>
    <row r="11" spans="1:7" x14ac:dyDescent="0.25">
      <c r="A11" s="63" t="s">
        <v>365</v>
      </c>
      <c r="B11" s="149">
        <v>0</v>
      </c>
      <c r="C11" s="149">
        <v>0</v>
      </c>
      <c r="D11" s="149">
        <v>0</v>
      </c>
      <c r="E11" s="149">
        <v>0</v>
      </c>
      <c r="F11" s="149">
        <v>0</v>
      </c>
      <c r="G11" s="149">
        <f>D11-E11</f>
        <v>0</v>
      </c>
    </row>
    <row r="12" spans="1:7" x14ac:dyDescent="0.25">
      <c r="A12" s="63" t="s">
        <v>366</v>
      </c>
      <c r="B12" s="149">
        <v>0</v>
      </c>
      <c r="C12" s="149">
        <v>0</v>
      </c>
      <c r="D12" s="149">
        <v>0</v>
      </c>
      <c r="E12" s="149">
        <v>0</v>
      </c>
      <c r="F12" s="149">
        <v>0</v>
      </c>
      <c r="G12" s="149">
        <f t="shared" ref="G12:G18" si="2">D12-E12</f>
        <v>0</v>
      </c>
    </row>
    <row r="13" spans="1:7" x14ac:dyDescent="0.25">
      <c r="A13" s="63" t="s">
        <v>367</v>
      </c>
      <c r="B13" s="149">
        <v>0</v>
      </c>
      <c r="C13" s="149">
        <v>0</v>
      </c>
      <c r="D13" s="149">
        <v>0</v>
      </c>
      <c r="E13" s="149">
        <v>0</v>
      </c>
      <c r="F13" s="149">
        <v>0</v>
      </c>
      <c r="G13" s="149">
        <f t="shared" si="2"/>
        <v>0</v>
      </c>
    </row>
    <row r="14" spans="1:7" x14ac:dyDescent="0.25">
      <c r="A14" s="63" t="s">
        <v>368</v>
      </c>
      <c r="B14" s="149">
        <v>0</v>
      </c>
      <c r="C14" s="149">
        <v>0</v>
      </c>
      <c r="D14" s="149">
        <v>0</v>
      </c>
      <c r="E14" s="149">
        <v>0</v>
      </c>
      <c r="F14" s="149">
        <v>0</v>
      </c>
      <c r="G14" s="149">
        <f t="shared" si="2"/>
        <v>0</v>
      </c>
    </row>
    <row r="15" spans="1:7" x14ac:dyDescent="0.25">
      <c r="A15" s="63" t="s">
        <v>369</v>
      </c>
      <c r="B15" s="149">
        <v>0</v>
      </c>
      <c r="C15" s="149">
        <v>0</v>
      </c>
      <c r="D15" s="149">
        <v>0</v>
      </c>
      <c r="E15" s="149">
        <v>0</v>
      </c>
      <c r="F15" s="149">
        <v>0</v>
      </c>
      <c r="G15" s="149">
        <f t="shared" si="2"/>
        <v>0</v>
      </c>
    </row>
    <row r="16" spans="1:7" x14ac:dyDescent="0.25">
      <c r="A16" s="63" t="s">
        <v>370</v>
      </c>
      <c r="B16" s="149">
        <v>0</v>
      </c>
      <c r="C16" s="149">
        <v>0</v>
      </c>
      <c r="D16" s="149">
        <v>0</v>
      </c>
      <c r="E16" s="149">
        <v>0</v>
      </c>
      <c r="F16" s="149">
        <v>0</v>
      </c>
      <c r="G16" s="149">
        <f t="shared" si="2"/>
        <v>0</v>
      </c>
    </row>
    <row r="17" spans="1:7" x14ac:dyDescent="0.25">
      <c r="A17" s="63" t="s">
        <v>371</v>
      </c>
      <c r="B17" s="149">
        <v>0</v>
      </c>
      <c r="C17" s="149">
        <v>0</v>
      </c>
      <c r="D17" s="149">
        <v>0</v>
      </c>
      <c r="E17" s="149">
        <v>0</v>
      </c>
      <c r="F17" s="149">
        <v>0</v>
      </c>
      <c r="G17" s="149">
        <f t="shared" si="2"/>
        <v>0</v>
      </c>
    </row>
    <row r="18" spans="1:7" x14ac:dyDescent="0.25">
      <c r="A18" s="63" t="s">
        <v>372</v>
      </c>
      <c r="B18" s="149">
        <v>0</v>
      </c>
      <c r="C18" s="149">
        <v>0</v>
      </c>
      <c r="D18" s="149">
        <v>0</v>
      </c>
      <c r="E18" s="149">
        <v>0</v>
      </c>
      <c r="F18" s="149">
        <v>0</v>
      </c>
      <c r="G18" s="149">
        <f t="shared" si="2"/>
        <v>0</v>
      </c>
    </row>
    <row r="19" spans="1:7" x14ac:dyDescent="0.25">
      <c r="A19" s="53" t="s">
        <v>373</v>
      </c>
      <c r="B19" s="149">
        <f>SUM(B20:B26)</f>
        <v>1828761175.0900021</v>
      </c>
      <c r="C19" s="149">
        <f t="shared" ref="C19:F19" si="3">SUM(C20:C26)</f>
        <v>-25492754.600000098</v>
      </c>
      <c r="D19" s="149">
        <f t="shared" si="3"/>
        <v>1803268420.4900055</v>
      </c>
      <c r="E19" s="149">
        <f t="shared" si="3"/>
        <v>588752064.03999937</v>
      </c>
      <c r="F19" s="149">
        <f t="shared" si="3"/>
        <v>557127094.6899997</v>
      </c>
      <c r="G19" s="149">
        <f>SUM(G20:G26)</f>
        <v>1214516356.450006</v>
      </c>
    </row>
    <row r="20" spans="1:7" x14ac:dyDescent="0.25">
      <c r="A20" s="63" t="s">
        <v>374</v>
      </c>
      <c r="B20" s="149">
        <v>0</v>
      </c>
      <c r="C20" s="149">
        <v>0</v>
      </c>
      <c r="D20" s="149">
        <v>0</v>
      </c>
      <c r="E20" s="149">
        <v>0</v>
      </c>
      <c r="F20" s="149">
        <v>0</v>
      </c>
      <c r="G20" s="149">
        <f>D20-E20</f>
        <v>0</v>
      </c>
    </row>
    <row r="21" spans="1:7" x14ac:dyDescent="0.25">
      <c r="A21" s="63" t="s">
        <v>375</v>
      </c>
      <c r="B21" s="149">
        <v>0</v>
      </c>
      <c r="C21" s="149">
        <v>0</v>
      </c>
      <c r="D21" s="149">
        <v>0</v>
      </c>
      <c r="E21" s="149">
        <v>0</v>
      </c>
      <c r="F21" s="149">
        <v>0</v>
      </c>
      <c r="G21" s="149">
        <f t="shared" ref="G21:G26" si="4">D21-E21</f>
        <v>0</v>
      </c>
    </row>
    <row r="22" spans="1:7" x14ac:dyDescent="0.25">
      <c r="A22" s="63" t="s">
        <v>376</v>
      </c>
      <c r="B22" s="149">
        <v>0</v>
      </c>
      <c r="C22" s="149">
        <v>0</v>
      </c>
      <c r="D22" s="149">
        <v>0</v>
      </c>
      <c r="E22" s="149">
        <v>0</v>
      </c>
      <c r="F22" s="149">
        <v>0</v>
      </c>
      <c r="G22" s="149">
        <f t="shared" si="4"/>
        <v>0</v>
      </c>
    </row>
    <row r="23" spans="1:7" x14ac:dyDescent="0.25">
      <c r="A23" s="63" t="s">
        <v>377</v>
      </c>
      <c r="B23" s="149">
        <v>0</v>
      </c>
      <c r="C23" s="149">
        <v>0</v>
      </c>
      <c r="D23" s="149">
        <v>0</v>
      </c>
      <c r="E23" s="149">
        <v>0</v>
      </c>
      <c r="F23" s="149">
        <v>0</v>
      </c>
      <c r="G23" s="149">
        <f t="shared" si="4"/>
        <v>0</v>
      </c>
    </row>
    <row r="24" spans="1:7" x14ac:dyDescent="0.25">
      <c r="A24" s="63" t="s">
        <v>378</v>
      </c>
      <c r="B24" s="149">
        <v>1828761175.0900021</v>
      </c>
      <c r="C24" s="149">
        <v>-25492754.600000098</v>
      </c>
      <c r="D24" s="149">
        <v>1803268420.4900055</v>
      </c>
      <c r="E24" s="149">
        <v>588752064.03999937</v>
      </c>
      <c r="F24" s="149">
        <v>557127094.6899997</v>
      </c>
      <c r="G24" s="149">
        <f t="shared" si="4"/>
        <v>1214516356.450006</v>
      </c>
    </row>
    <row r="25" spans="1:7" x14ac:dyDescent="0.25">
      <c r="A25" s="63" t="s">
        <v>379</v>
      </c>
      <c r="B25" s="149">
        <v>0</v>
      </c>
      <c r="C25" s="149">
        <v>0</v>
      </c>
      <c r="D25" s="149">
        <v>0</v>
      </c>
      <c r="E25" s="149">
        <v>0</v>
      </c>
      <c r="F25" s="149">
        <v>0</v>
      </c>
      <c r="G25" s="149">
        <f t="shared" si="4"/>
        <v>0</v>
      </c>
    </row>
    <row r="26" spans="1:7" x14ac:dyDescent="0.25">
      <c r="A26" s="63" t="s">
        <v>380</v>
      </c>
      <c r="B26" s="149">
        <v>0</v>
      </c>
      <c r="C26" s="149">
        <v>0</v>
      </c>
      <c r="D26" s="149">
        <v>0</v>
      </c>
      <c r="E26" s="149">
        <v>0</v>
      </c>
      <c r="F26" s="149">
        <v>0</v>
      </c>
      <c r="G26" s="149">
        <f t="shared" si="4"/>
        <v>0</v>
      </c>
    </row>
    <row r="27" spans="1:7" x14ac:dyDescent="0.25">
      <c r="A27" s="53" t="s">
        <v>381</v>
      </c>
      <c r="B27" s="149">
        <f>SUM(B28:B36)</f>
        <v>172435662.18999997</v>
      </c>
      <c r="C27" s="149">
        <f t="shared" ref="C27:F27" si="5">SUM(C28:C36)</f>
        <v>-51687301.759999968</v>
      </c>
      <c r="D27" s="149">
        <f t="shared" si="5"/>
        <v>120748360.42999999</v>
      </c>
      <c r="E27" s="149">
        <f t="shared" si="5"/>
        <v>18454987.609999996</v>
      </c>
      <c r="F27" s="149">
        <f t="shared" si="5"/>
        <v>16056659.350000007</v>
      </c>
      <c r="G27" s="149">
        <f>SUM(G28:G36)</f>
        <v>102293372.81999999</v>
      </c>
    </row>
    <row r="28" spans="1:7" x14ac:dyDescent="0.25">
      <c r="A28" s="68" t="s">
        <v>382</v>
      </c>
      <c r="B28" s="149">
        <v>0</v>
      </c>
      <c r="C28" s="149">
        <v>0</v>
      </c>
      <c r="D28" s="149">
        <v>0</v>
      </c>
      <c r="E28" s="149">
        <v>0</v>
      </c>
      <c r="F28" s="149">
        <v>0</v>
      </c>
      <c r="G28" s="149">
        <f>D28-E28</f>
        <v>0</v>
      </c>
    </row>
    <row r="29" spans="1:7" x14ac:dyDescent="0.25">
      <c r="A29" s="63" t="s">
        <v>383</v>
      </c>
      <c r="B29" s="149">
        <v>0</v>
      </c>
      <c r="C29" s="149">
        <v>0</v>
      </c>
      <c r="D29" s="149">
        <v>0</v>
      </c>
      <c r="E29" s="149">
        <v>0</v>
      </c>
      <c r="F29" s="149">
        <v>0</v>
      </c>
      <c r="G29" s="149">
        <f t="shared" ref="G29:G36" si="6">D29-E29</f>
        <v>0</v>
      </c>
    </row>
    <row r="30" spans="1:7" x14ac:dyDescent="0.25">
      <c r="A30" s="63" t="s">
        <v>384</v>
      </c>
      <c r="B30" s="149">
        <v>0</v>
      </c>
      <c r="C30" s="149">
        <v>0</v>
      </c>
      <c r="D30" s="149">
        <v>0</v>
      </c>
      <c r="E30" s="149">
        <v>0</v>
      </c>
      <c r="F30" s="149">
        <v>0</v>
      </c>
      <c r="G30" s="149">
        <f t="shared" si="6"/>
        <v>0</v>
      </c>
    </row>
    <row r="31" spans="1:7" x14ac:dyDescent="0.25">
      <c r="A31" s="63" t="s">
        <v>385</v>
      </c>
      <c r="B31" s="149">
        <v>0</v>
      </c>
      <c r="C31" s="149">
        <v>0</v>
      </c>
      <c r="D31" s="149">
        <v>0</v>
      </c>
      <c r="E31" s="149">
        <v>0</v>
      </c>
      <c r="F31" s="149">
        <v>0</v>
      </c>
      <c r="G31" s="149">
        <f t="shared" si="6"/>
        <v>0</v>
      </c>
    </row>
    <row r="32" spans="1:7" x14ac:dyDescent="0.25">
      <c r="A32" s="63" t="s">
        <v>386</v>
      </c>
      <c r="B32" s="149">
        <v>0</v>
      </c>
      <c r="C32" s="149">
        <v>0</v>
      </c>
      <c r="D32" s="149">
        <v>0</v>
      </c>
      <c r="E32" s="149">
        <v>0</v>
      </c>
      <c r="F32" s="149">
        <v>0</v>
      </c>
      <c r="G32" s="149">
        <f t="shared" si="6"/>
        <v>0</v>
      </c>
    </row>
    <row r="33" spans="1:7" x14ac:dyDescent="0.25">
      <c r="A33" s="63" t="s">
        <v>387</v>
      </c>
      <c r="B33" s="149">
        <v>0</v>
      </c>
      <c r="C33" s="149">
        <v>0</v>
      </c>
      <c r="D33" s="149">
        <v>0</v>
      </c>
      <c r="E33" s="149">
        <v>0</v>
      </c>
      <c r="F33" s="149">
        <v>0</v>
      </c>
      <c r="G33" s="149">
        <f t="shared" si="6"/>
        <v>0</v>
      </c>
    </row>
    <row r="34" spans="1:7" x14ac:dyDescent="0.25">
      <c r="A34" s="63" t="s">
        <v>388</v>
      </c>
      <c r="B34" s="149">
        <v>0</v>
      </c>
      <c r="C34" s="149">
        <v>0</v>
      </c>
      <c r="D34" s="149">
        <v>0</v>
      </c>
      <c r="E34" s="149">
        <v>0</v>
      </c>
      <c r="F34" s="149">
        <v>0</v>
      </c>
      <c r="G34" s="149">
        <f t="shared" si="6"/>
        <v>0</v>
      </c>
    </row>
    <row r="35" spans="1:7" x14ac:dyDescent="0.25">
      <c r="A35" s="63" t="s">
        <v>389</v>
      </c>
      <c r="B35" s="149">
        <v>172435662.18999997</v>
      </c>
      <c r="C35" s="149">
        <v>-51687301.759999968</v>
      </c>
      <c r="D35" s="149">
        <v>120748360.42999999</v>
      </c>
      <c r="E35" s="149">
        <v>18454987.609999996</v>
      </c>
      <c r="F35" s="149">
        <v>16056659.350000007</v>
      </c>
      <c r="G35" s="149">
        <f t="shared" si="6"/>
        <v>102293372.81999999</v>
      </c>
    </row>
    <row r="36" spans="1:7" x14ac:dyDescent="0.25">
      <c r="A36" s="63" t="s">
        <v>390</v>
      </c>
      <c r="B36" s="149">
        <v>0</v>
      </c>
      <c r="C36" s="149">
        <v>0</v>
      </c>
      <c r="D36" s="149">
        <v>0</v>
      </c>
      <c r="E36" s="149">
        <v>0</v>
      </c>
      <c r="F36" s="149">
        <v>0</v>
      </c>
      <c r="G36" s="149">
        <f t="shared" si="6"/>
        <v>0</v>
      </c>
    </row>
    <row r="37" spans="1:7" ht="30" x14ac:dyDescent="0.25">
      <c r="A37" s="64" t="s">
        <v>398</v>
      </c>
      <c r="B37" s="149">
        <f>SUM(B38:B41)</f>
        <v>0</v>
      </c>
      <c r="C37" s="149">
        <f t="shared" ref="C37:F37" si="7">SUM(C38:C41)</f>
        <v>0</v>
      </c>
      <c r="D37" s="149">
        <f t="shared" si="7"/>
        <v>0</v>
      </c>
      <c r="E37" s="149">
        <f t="shared" si="7"/>
        <v>0</v>
      </c>
      <c r="F37" s="149">
        <f t="shared" si="7"/>
        <v>0</v>
      </c>
      <c r="G37" s="149">
        <f>SUM(G38:G41)</f>
        <v>0</v>
      </c>
    </row>
    <row r="38" spans="1:7" x14ac:dyDescent="0.25">
      <c r="A38" s="68" t="s">
        <v>391</v>
      </c>
      <c r="B38" s="149">
        <v>0</v>
      </c>
      <c r="C38" s="149">
        <v>0</v>
      </c>
      <c r="D38" s="149">
        <v>0</v>
      </c>
      <c r="E38" s="149">
        <v>0</v>
      </c>
      <c r="F38" s="149">
        <v>0</v>
      </c>
      <c r="G38" s="149">
        <f>D38-E38</f>
        <v>0</v>
      </c>
    </row>
    <row r="39" spans="1:7" ht="30" x14ac:dyDescent="0.25">
      <c r="A39" s="68" t="s">
        <v>392</v>
      </c>
      <c r="B39" s="149">
        <v>0</v>
      </c>
      <c r="C39" s="149">
        <v>0</v>
      </c>
      <c r="D39" s="149">
        <v>0</v>
      </c>
      <c r="E39" s="149">
        <v>0</v>
      </c>
      <c r="F39" s="149">
        <v>0</v>
      </c>
      <c r="G39" s="149">
        <f t="shared" ref="G39:G41" si="8">D39-E39</f>
        <v>0</v>
      </c>
    </row>
    <row r="40" spans="1:7" x14ac:dyDescent="0.25">
      <c r="A40" s="68" t="s">
        <v>393</v>
      </c>
      <c r="B40" s="149">
        <v>0</v>
      </c>
      <c r="C40" s="149">
        <v>0</v>
      </c>
      <c r="D40" s="149">
        <v>0</v>
      </c>
      <c r="E40" s="149">
        <v>0</v>
      </c>
      <c r="F40" s="149">
        <v>0</v>
      </c>
      <c r="G40" s="149">
        <f t="shared" si="8"/>
        <v>0</v>
      </c>
    </row>
    <row r="41" spans="1:7" x14ac:dyDescent="0.25">
      <c r="A41" s="68" t="s">
        <v>394</v>
      </c>
      <c r="B41" s="149">
        <v>0</v>
      </c>
      <c r="C41" s="149">
        <v>0</v>
      </c>
      <c r="D41" s="149">
        <v>0</v>
      </c>
      <c r="E41" s="149">
        <v>0</v>
      </c>
      <c r="F41" s="149">
        <v>0</v>
      </c>
      <c r="G41" s="149">
        <f t="shared" si="8"/>
        <v>0</v>
      </c>
    </row>
    <row r="42" spans="1:7" x14ac:dyDescent="0.25">
      <c r="A42" s="68"/>
      <c r="B42" s="70"/>
      <c r="C42" s="70"/>
      <c r="D42" s="70"/>
      <c r="E42" s="70"/>
      <c r="F42" s="70"/>
      <c r="G42" s="70"/>
    </row>
    <row r="43" spans="1:7" x14ac:dyDescent="0.25">
      <c r="A43" s="55" t="s">
        <v>395</v>
      </c>
      <c r="B43" s="71">
        <f>SUM(B44,B53,B61,B71)</f>
        <v>2005919172.7099974</v>
      </c>
      <c r="C43" s="71">
        <f t="shared" ref="C43:G43" si="9">SUM(C44,C53,C61,C71)</f>
        <v>118758783.98999999</v>
      </c>
      <c r="D43" s="71">
        <f t="shared" si="9"/>
        <v>2124677956.7000022</v>
      </c>
      <c r="E43" s="71">
        <f t="shared" si="9"/>
        <v>855067805.31999946</v>
      </c>
      <c r="F43" s="71">
        <f t="shared" si="9"/>
        <v>847347634.49999928</v>
      </c>
      <c r="G43" s="71">
        <f t="shared" si="9"/>
        <v>1269610151.380003</v>
      </c>
    </row>
    <row r="44" spans="1:7" x14ac:dyDescent="0.25">
      <c r="A44" s="53" t="s">
        <v>430</v>
      </c>
      <c r="B44" s="149">
        <f>SUM(B45:B52)</f>
        <v>0</v>
      </c>
      <c r="C44" s="149">
        <f t="shared" ref="C44:G44" si="10">SUM(C45:C52)</f>
        <v>0</v>
      </c>
      <c r="D44" s="149">
        <f t="shared" si="10"/>
        <v>0</v>
      </c>
      <c r="E44" s="149">
        <f t="shared" si="10"/>
        <v>0</v>
      </c>
      <c r="F44" s="149">
        <f t="shared" si="10"/>
        <v>0</v>
      </c>
      <c r="G44" s="149">
        <f t="shared" si="10"/>
        <v>0</v>
      </c>
    </row>
    <row r="45" spans="1:7" x14ac:dyDescent="0.25">
      <c r="A45" s="68" t="s">
        <v>365</v>
      </c>
      <c r="B45" s="149">
        <v>0</v>
      </c>
      <c r="C45" s="149">
        <v>0</v>
      </c>
      <c r="D45" s="149">
        <v>0</v>
      </c>
      <c r="E45" s="149">
        <v>0</v>
      </c>
      <c r="F45" s="149">
        <v>0</v>
      </c>
      <c r="G45" s="149">
        <f>D45-E45</f>
        <v>0</v>
      </c>
    </row>
    <row r="46" spans="1:7" x14ac:dyDescent="0.25">
      <c r="A46" s="68" t="s">
        <v>366</v>
      </c>
      <c r="B46" s="149">
        <v>0</v>
      </c>
      <c r="C46" s="149">
        <v>0</v>
      </c>
      <c r="D46" s="149">
        <v>0</v>
      </c>
      <c r="E46" s="149">
        <v>0</v>
      </c>
      <c r="F46" s="149">
        <v>0</v>
      </c>
      <c r="G46" s="149">
        <f t="shared" ref="G46:G52" si="11">D46-E46</f>
        <v>0</v>
      </c>
    </row>
    <row r="47" spans="1:7" x14ac:dyDescent="0.25">
      <c r="A47" s="68" t="s">
        <v>367</v>
      </c>
      <c r="B47" s="149">
        <v>0</v>
      </c>
      <c r="C47" s="149">
        <v>0</v>
      </c>
      <c r="D47" s="149">
        <v>0</v>
      </c>
      <c r="E47" s="149">
        <v>0</v>
      </c>
      <c r="F47" s="149">
        <v>0</v>
      </c>
      <c r="G47" s="149">
        <f t="shared" si="11"/>
        <v>0</v>
      </c>
    </row>
    <row r="48" spans="1:7" x14ac:dyDescent="0.25">
      <c r="A48" s="68" t="s">
        <v>368</v>
      </c>
      <c r="B48" s="149">
        <v>0</v>
      </c>
      <c r="C48" s="149">
        <v>0</v>
      </c>
      <c r="D48" s="149">
        <v>0</v>
      </c>
      <c r="E48" s="149">
        <v>0</v>
      </c>
      <c r="F48" s="149">
        <v>0</v>
      </c>
      <c r="G48" s="149">
        <f t="shared" si="11"/>
        <v>0</v>
      </c>
    </row>
    <row r="49" spans="1:7" x14ac:dyDescent="0.25">
      <c r="A49" s="68" t="s">
        <v>369</v>
      </c>
      <c r="B49" s="149">
        <v>0</v>
      </c>
      <c r="C49" s="149">
        <v>0</v>
      </c>
      <c r="D49" s="149">
        <v>0</v>
      </c>
      <c r="E49" s="149">
        <v>0</v>
      </c>
      <c r="F49" s="149">
        <v>0</v>
      </c>
      <c r="G49" s="149">
        <f t="shared" si="11"/>
        <v>0</v>
      </c>
    </row>
    <row r="50" spans="1:7" x14ac:dyDescent="0.25">
      <c r="A50" s="68" t="s">
        <v>370</v>
      </c>
      <c r="B50" s="149">
        <v>0</v>
      </c>
      <c r="C50" s="149">
        <v>0</v>
      </c>
      <c r="D50" s="149">
        <v>0</v>
      </c>
      <c r="E50" s="149">
        <v>0</v>
      </c>
      <c r="F50" s="149">
        <v>0</v>
      </c>
      <c r="G50" s="149">
        <f t="shared" si="11"/>
        <v>0</v>
      </c>
    </row>
    <row r="51" spans="1:7" x14ac:dyDescent="0.25">
      <c r="A51" s="68" t="s">
        <v>371</v>
      </c>
      <c r="B51" s="149">
        <v>0</v>
      </c>
      <c r="C51" s="149">
        <v>0</v>
      </c>
      <c r="D51" s="149">
        <v>0</v>
      </c>
      <c r="E51" s="149">
        <v>0</v>
      </c>
      <c r="F51" s="149">
        <v>0</v>
      </c>
      <c r="G51" s="149">
        <f t="shared" si="11"/>
        <v>0</v>
      </c>
    </row>
    <row r="52" spans="1:7" x14ac:dyDescent="0.25">
      <c r="A52" s="68" t="s">
        <v>372</v>
      </c>
      <c r="B52" s="149">
        <v>0</v>
      </c>
      <c r="C52" s="149">
        <v>0</v>
      </c>
      <c r="D52" s="149">
        <v>0</v>
      </c>
      <c r="E52" s="149">
        <v>0</v>
      </c>
      <c r="F52" s="149">
        <v>0</v>
      </c>
      <c r="G52" s="149">
        <f t="shared" si="11"/>
        <v>0</v>
      </c>
    </row>
    <row r="53" spans="1:7" x14ac:dyDescent="0.25">
      <c r="A53" s="53" t="s">
        <v>373</v>
      </c>
      <c r="B53" s="149">
        <f>SUM(B54:B60)</f>
        <v>1831401571.8699973</v>
      </c>
      <c r="C53" s="149">
        <f t="shared" ref="C53:G53" si="12">SUM(C54:C60)</f>
        <v>29715106.880000021</v>
      </c>
      <c r="D53" s="149">
        <f t="shared" si="12"/>
        <v>1861116678.7500021</v>
      </c>
      <c r="E53" s="149">
        <f t="shared" si="12"/>
        <v>784739580.45999944</v>
      </c>
      <c r="F53" s="149">
        <f t="shared" si="12"/>
        <v>778256710.37999928</v>
      </c>
      <c r="G53" s="149">
        <f t="shared" si="12"/>
        <v>1076377098.2900028</v>
      </c>
    </row>
    <row r="54" spans="1:7" x14ac:dyDescent="0.25">
      <c r="A54" s="68" t="s">
        <v>374</v>
      </c>
      <c r="B54" s="149">
        <v>0</v>
      </c>
      <c r="C54" s="149">
        <v>0</v>
      </c>
      <c r="D54" s="149">
        <v>0</v>
      </c>
      <c r="E54" s="149">
        <v>0</v>
      </c>
      <c r="F54" s="149">
        <v>0</v>
      </c>
      <c r="G54" s="149">
        <f>D54-E54</f>
        <v>0</v>
      </c>
    </row>
    <row r="55" spans="1:7" x14ac:dyDescent="0.25">
      <c r="A55" s="68" t="s">
        <v>375</v>
      </c>
      <c r="B55" s="149">
        <v>0</v>
      </c>
      <c r="C55" s="149">
        <v>0</v>
      </c>
      <c r="D55" s="149">
        <v>0</v>
      </c>
      <c r="E55" s="149">
        <v>0</v>
      </c>
      <c r="F55" s="149">
        <v>0</v>
      </c>
      <c r="G55" s="149">
        <f t="shared" ref="G55:G60" si="13">D55-E55</f>
        <v>0</v>
      </c>
    </row>
    <row r="56" spans="1:7" x14ac:dyDescent="0.25">
      <c r="A56" s="68" t="s">
        <v>376</v>
      </c>
      <c r="B56" s="149">
        <v>0</v>
      </c>
      <c r="C56" s="149">
        <v>0</v>
      </c>
      <c r="D56" s="149">
        <v>0</v>
      </c>
      <c r="E56" s="149">
        <v>0</v>
      </c>
      <c r="F56" s="149">
        <v>0</v>
      </c>
      <c r="G56" s="149">
        <f t="shared" si="13"/>
        <v>0</v>
      </c>
    </row>
    <row r="57" spans="1:7" x14ac:dyDescent="0.25">
      <c r="A57" s="48" t="s">
        <v>377</v>
      </c>
      <c r="B57" s="149">
        <v>0</v>
      </c>
      <c r="C57" s="149">
        <v>0</v>
      </c>
      <c r="D57" s="149">
        <v>0</v>
      </c>
      <c r="E57" s="149">
        <v>0</v>
      </c>
      <c r="F57" s="149">
        <v>0</v>
      </c>
      <c r="G57" s="149">
        <f t="shared" si="13"/>
        <v>0</v>
      </c>
    </row>
    <row r="58" spans="1:7" x14ac:dyDescent="0.25">
      <c r="A58" s="68" t="s">
        <v>378</v>
      </c>
      <c r="B58" s="149">
        <v>1831401571.8699973</v>
      </c>
      <c r="C58" s="149">
        <v>29715106.880000021</v>
      </c>
      <c r="D58" s="149">
        <v>1861116678.7500021</v>
      </c>
      <c r="E58" s="149">
        <v>784739580.45999944</v>
      </c>
      <c r="F58" s="149">
        <v>778256710.37999928</v>
      </c>
      <c r="G58" s="149">
        <f t="shared" si="13"/>
        <v>1076377098.2900028</v>
      </c>
    </row>
    <row r="59" spans="1:7" x14ac:dyDescent="0.25">
      <c r="A59" s="68" t="s">
        <v>379</v>
      </c>
      <c r="B59" s="149">
        <v>0</v>
      </c>
      <c r="C59" s="149">
        <v>0</v>
      </c>
      <c r="D59" s="149">
        <v>0</v>
      </c>
      <c r="E59" s="149">
        <v>0</v>
      </c>
      <c r="F59" s="149">
        <v>0</v>
      </c>
      <c r="G59" s="149">
        <f t="shared" si="13"/>
        <v>0</v>
      </c>
    </row>
    <row r="60" spans="1:7" x14ac:dyDescent="0.25">
      <c r="A60" s="68" t="s">
        <v>380</v>
      </c>
      <c r="B60" s="149">
        <v>0</v>
      </c>
      <c r="C60" s="149">
        <v>0</v>
      </c>
      <c r="D60" s="149">
        <v>0</v>
      </c>
      <c r="E60" s="149">
        <v>0</v>
      </c>
      <c r="F60" s="149">
        <v>0</v>
      </c>
      <c r="G60" s="149">
        <f t="shared" si="13"/>
        <v>0</v>
      </c>
    </row>
    <row r="61" spans="1:7" x14ac:dyDescent="0.25">
      <c r="A61" s="53" t="s">
        <v>381</v>
      </c>
      <c r="B61" s="149">
        <f>SUM(B62:B70)</f>
        <v>174517600.84000009</v>
      </c>
      <c r="C61" s="149">
        <f t="shared" ref="C61:G61" si="14">SUM(C62:C70)</f>
        <v>89043677.10999997</v>
      </c>
      <c r="D61" s="149">
        <f t="shared" si="14"/>
        <v>263561277.95000011</v>
      </c>
      <c r="E61" s="149">
        <f t="shared" si="14"/>
        <v>70328224.85999997</v>
      </c>
      <c r="F61" s="149">
        <f t="shared" si="14"/>
        <v>69090924.12000002</v>
      </c>
      <c r="G61" s="149">
        <f t="shared" si="14"/>
        <v>193233053.09000015</v>
      </c>
    </row>
    <row r="62" spans="1:7" x14ac:dyDescent="0.25">
      <c r="A62" s="68" t="s">
        <v>382</v>
      </c>
      <c r="B62" s="149">
        <v>0</v>
      </c>
      <c r="C62" s="149">
        <v>0</v>
      </c>
      <c r="D62" s="149">
        <v>0</v>
      </c>
      <c r="E62" s="149">
        <v>0</v>
      </c>
      <c r="F62" s="149">
        <v>0</v>
      </c>
      <c r="G62" s="149">
        <f>D62-E62</f>
        <v>0</v>
      </c>
    </row>
    <row r="63" spans="1:7" x14ac:dyDescent="0.25">
      <c r="A63" s="68" t="s">
        <v>383</v>
      </c>
      <c r="B63" s="149">
        <v>0</v>
      </c>
      <c r="C63" s="149">
        <v>0</v>
      </c>
      <c r="D63" s="149">
        <v>0</v>
      </c>
      <c r="E63" s="149">
        <v>0</v>
      </c>
      <c r="F63" s="149">
        <v>0</v>
      </c>
      <c r="G63" s="149">
        <f t="shared" ref="G63:G70" si="15">D63-E63</f>
        <v>0</v>
      </c>
    </row>
    <row r="64" spans="1:7" x14ac:dyDescent="0.25">
      <c r="A64" s="68" t="s">
        <v>384</v>
      </c>
      <c r="B64" s="149">
        <v>0</v>
      </c>
      <c r="C64" s="149">
        <v>0</v>
      </c>
      <c r="D64" s="149">
        <v>0</v>
      </c>
      <c r="E64" s="149">
        <v>0</v>
      </c>
      <c r="F64" s="149">
        <v>0</v>
      </c>
      <c r="G64" s="149">
        <f t="shared" si="15"/>
        <v>0</v>
      </c>
    </row>
    <row r="65" spans="1:8" x14ac:dyDescent="0.25">
      <c r="A65" s="68" t="s">
        <v>385</v>
      </c>
      <c r="B65" s="149">
        <v>0</v>
      </c>
      <c r="C65" s="149">
        <v>0</v>
      </c>
      <c r="D65" s="149">
        <v>0</v>
      </c>
      <c r="E65" s="149">
        <v>0</v>
      </c>
      <c r="F65" s="149">
        <v>0</v>
      </c>
      <c r="G65" s="149">
        <f t="shared" si="15"/>
        <v>0</v>
      </c>
    </row>
    <row r="66" spans="1:8" x14ac:dyDescent="0.25">
      <c r="A66" s="68" t="s">
        <v>386</v>
      </c>
      <c r="B66" s="149">
        <v>0</v>
      </c>
      <c r="C66" s="149">
        <v>0</v>
      </c>
      <c r="D66" s="149">
        <v>0</v>
      </c>
      <c r="E66" s="149">
        <v>0</v>
      </c>
      <c r="F66" s="149">
        <v>0</v>
      </c>
      <c r="G66" s="149">
        <f t="shared" si="15"/>
        <v>0</v>
      </c>
    </row>
    <row r="67" spans="1:8" x14ac:dyDescent="0.25">
      <c r="A67" s="68" t="s">
        <v>387</v>
      </c>
      <c r="B67" s="149">
        <v>0</v>
      </c>
      <c r="C67" s="149">
        <v>0</v>
      </c>
      <c r="D67" s="149">
        <v>0</v>
      </c>
      <c r="E67" s="149">
        <v>0</v>
      </c>
      <c r="F67" s="149">
        <v>0</v>
      </c>
      <c r="G67" s="149">
        <f t="shared" si="15"/>
        <v>0</v>
      </c>
    </row>
    <row r="68" spans="1:8" x14ac:dyDescent="0.25">
      <c r="A68" s="68" t="s">
        <v>388</v>
      </c>
      <c r="B68" s="149">
        <v>0</v>
      </c>
      <c r="C68" s="149">
        <v>0</v>
      </c>
      <c r="D68" s="149">
        <v>0</v>
      </c>
      <c r="E68" s="149">
        <v>0</v>
      </c>
      <c r="F68" s="149">
        <v>0</v>
      </c>
      <c r="G68" s="149">
        <f t="shared" si="15"/>
        <v>0</v>
      </c>
    </row>
    <row r="69" spans="1:8" x14ac:dyDescent="0.25">
      <c r="A69" s="68" t="s">
        <v>389</v>
      </c>
      <c r="B69" s="149">
        <v>174517600.84000009</v>
      </c>
      <c r="C69" s="149">
        <v>89043677.10999997</v>
      </c>
      <c r="D69" s="149">
        <v>263561277.95000011</v>
      </c>
      <c r="E69" s="149">
        <v>70328224.85999997</v>
      </c>
      <c r="F69" s="149">
        <v>69090924.12000002</v>
      </c>
      <c r="G69" s="149">
        <f t="shared" si="15"/>
        <v>193233053.09000015</v>
      </c>
    </row>
    <row r="70" spans="1:8" x14ac:dyDescent="0.25">
      <c r="A70" s="68" t="s">
        <v>390</v>
      </c>
      <c r="B70" s="149">
        <v>0</v>
      </c>
      <c r="C70" s="149">
        <v>0</v>
      </c>
      <c r="D70" s="149">
        <v>0</v>
      </c>
      <c r="E70" s="149">
        <v>0</v>
      </c>
      <c r="F70" s="149">
        <v>0</v>
      </c>
      <c r="G70" s="149">
        <f t="shared" si="15"/>
        <v>0</v>
      </c>
    </row>
    <row r="71" spans="1:8" x14ac:dyDescent="0.25">
      <c r="A71" s="64" t="s">
        <v>3299</v>
      </c>
      <c r="B71" s="150">
        <f>SUM(B72:B75)</f>
        <v>0</v>
      </c>
      <c r="C71" s="150">
        <f t="shared" ref="C71:F71" si="16">SUM(C72:C75)</f>
        <v>0</v>
      </c>
      <c r="D71" s="150">
        <f t="shared" si="16"/>
        <v>0</v>
      </c>
      <c r="E71" s="150">
        <f t="shared" si="16"/>
        <v>0</v>
      </c>
      <c r="F71" s="150">
        <f t="shared" si="16"/>
        <v>0</v>
      </c>
      <c r="G71" s="150">
        <f>SUM(G72:G75)</f>
        <v>0</v>
      </c>
    </row>
    <row r="72" spans="1:8" x14ac:dyDescent="0.25">
      <c r="A72" s="68" t="s">
        <v>391</v>
      </c>
      <c r="B72" s="149">
        <v>0</v>
      </c>
      <c r="C72" s="149">
        <v>0</v>
      </c>
      <c r="D72" s="149">
        <v>0</v>
      </c>
      <c r="E72" s="149">
        <v>0</v>
      </c>
      <c r="F72" s="149">
        <v>0</v>
      </c>
      <c r="G72" s="149">
        <f>D72-E72</f>
        <v>0</v>
      </c>
    </row>
    <row r="73" spans="1:8" ht="30" x14ac:dyDescent="0.25">
      <c r="A73" s="68" t="s">
        <v>392</v>
      </c>
      <c r="B73" s="149">
        <v>0</v>
      </c>
      <c r="C73" s="149">
        <v>0</v>
      </c>
      <c r="D73" s="149">
        <v>0</v>
      </c>
      <c r="E73" s="149">
        <v>0</v>
      </c>
      <c r="F73" s="149">
        <v>0</v>
      </c>
      <c r="G73" s="149">
        <f t="shared" ref="G73:G75" si="17">D73-E73</f>
        <v>0</v>
      </c>
    </row>
    <row r="74" spans="1:8" x14ac:dyDescent="0.25">
      <c r="A74" s="68" t="s">
        <v>393</v>
      </c>
      <c r="B74" s="149">
        <v>0</v>
      </c>
      <c r="C74" s="149">
        <v>0</v>
      </c>
      <c r="D74" s="149">
        <v>0</v>
      </c>
      <c r="E74" s="149">
        <v>0</v>
      </c>
      <c r="F74" s="149">
        <v>0</v>
      </c>
      <c r="G74" s="149">
        <f t="shared" si="17"/>
        <v>0</v>
      </c>
    </row>
    <row r="75" spans="1:8" x14ac:dyDescent="0.25">
      <c r="A75" s="68" t="s">
        <v>394</v>
      </c>
      <c r="B75" s="149">
        <v>0</v>
      </c>
      <c r="C75" s="149">
        <v>0</v>
      </c>
      <c r="D75" s="149">
        <v>0</v>
      </c>
      <c r="E75" s="149">
        <v>0</v>
      </c>
      <c r="F75" s="149">
        <v>0</v>
      </c>
      <c r="G75" s="149">
        <f t="shared" si="17"/>
        <v>0</v>
      </c>
    </row>
    <row r="76" spans="1:8" x14ac:dyDescent="0.25">
      <c r="A76" s="54"/>
      <c r="B76" s="72"/>
      <c r="C76" s="72"/>
      <c r="D76" s="72"/>
      <c r="E76" s="72"/>
      <c r="F76" s="72"/>
      <c r="G76" s="72"/>
    </row>
    <row r="77" spans="1:8" x14ac:dyDescent="0.25">
      <c r="A77" s="55" t="s">
        <v>360</v>
      </c>
      <c r="B77" s="71">
        <f>B43+B9</f>
        <v>4007116009.9899998</v>
      </c>
      <c r="C77" s="71">
        <f t="shared" ref="C77:F77" si="18">C43+C9</f>
        <v>41578727.629999921</v>
      </c>
      <c r="D77" s="71">
        <f t="shared" si="18"/>
        <v>4048694737.6200075</v>
      </c>
      <c r="E77" s="71">
        <f t="shared" si="18"/>
        <v>1462274856.9699988</v>
      </c>
      <c r="F77" s="71">
        <f t="shared" si="18"/>
        <v>1420531388.539999</v>
      </c>
      <c r="G77" s="71">
        <f>G43+G9</f>
        <v>2586419880.6500092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11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2001196837.2800021</v>
      </c>
      <c r="Q2" s="18">
        <f>'Formato 6 c)'!C9</f>
        <v>-77180056.360000074</v>
      </c>
      <c r="R2" s="18">
        <f>'Formato 6 c)'!D9</f>
        <v>1924016780.9200056</v>
      </c>
      <c r="S2" s="18">
        <f>'Formato 6 c)'!E9</f>
        <v>607207051.64999938</v>
      </c>
      <c r="T2" s="18">
        <f>'Formato 6 c)'!F9</f>
        <v>573183754.03999972</v>
      </c>
      <c r="U2" s="18">
        <f>'Formato 6 c)'!G9</f>
        <v>1316809729.2700059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1828761175.0900021</v>
      </c>
      <c r="Q12" s="18">
        <f>'Formato 6 c)'!C19</f>
        <v>-25492754.600000098</v>
      </c>
      <c r="R12" s="18">
        <f>'Formato 6 c)'!D19</f>
        <v>1803268420.4900055</v>
      </c>
      <c r="S12" s="18">
        <f>'Formato 6 c)'!E19</f>
        <v>588752064.03999937</v>
      </c>
      <c r="T12" s="18">
        <f>'Formato 6 c)'!F19</f>
        <v>557127094.6899997</v>
      </c>
      <c r="U12" s="18">
        <f>'Formato 6 c)'!G19</f>
        <v>1214516356.450006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0</v>
      </c>
      <c r="Q14" s="18">
        <f>'Formato 6 c)'!C21</f>
        <v>0</v>
      </c>
      <c r="R14" s="18">
        <f>'Formato 6 c)'!D21</f>
        <v>0</v>
      </c>
      <c r="S14" s="18">
        <f>'Formato 6 c)'!E21</f>
        <v>0</v>
      </c>
      <c r="T14" s="18">
        <f>'Formato 6 c)'!F21</f>
        <v>0</v>
      </c>
      <c r="U14" s="18">
        <f>'Formato 6 c)'!G21</f>
        <v>0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1828761175.0900021</v>
      </c>
      <c r="Q17" s="18">
        <f>'Formato 6 c)'!C24</f>
        <v>-25492754.600000098</v>
      </c>
      <c r="R17" s="18">
        <f>'Formato 6 c)'!D24</f>
        <v>1803268420.4900055</v>
      </c>
      <c r="S17" s="18">
        <f>'Formato 6 c)'!E24</f>
        <v>588752064.03999937</v>
      </c>
      <c r="T17" s="18">
        <f>'Formato 6 c)'!F24</f>
        <v>557127094.6899997</v>
      </c>
      <c r="U17" s="18">
        <f>'Formato 6 c)'!G24</f>
        <v>1214516356.450006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172435662.18999997</v>
      </c>
      <c r="Q20" s="18">
        <f>'Formato 6 c)'!C27</f>
        <v>-51687301.759999968</v>
      </c>
      <c r="R20" s="18">
        <f>'Formato 6 c)'!D27</f>
        <v>120748360.42999999</v>
      </c>
      <c r="S20" s="18">
        <f>'Formato 6 c)'!E27</f>
        <v>18454987.609999996</v>
      </c>
      <c r="T20" s="18">
        <f>'Formato 6 c)'!F27</f>
        <v>16056659.350000007</v>
      </c>
      <c r="U20" s="18">
        <f>'Formato 6 c)'!G27</f>
        <v>102293372.81999999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172435662.18999997</v>
      </c>
      <c r="Q28" s="18">
        <f>'Formato 6 c)'!C35</f>
        <v>-51687301.759999968</v>
      </c>
      <c r="R28" s="18">
        <f>'Formato 6 c)'!D35</f>
        <v>120748360.42999999</v>
      </c>
      <c r="S28" s="18">
        <f>'Formato 6 c)'!E35</f>
        <v>18454987.609999996</v>
      </c>
      <c r="T28" s="18">
        <f>'Formato 6 c)'!F35</f>
        <v>16056659.350000007</v>
      </c>
      <c r="U28" s="18">
        <f>'Formato 6 c)'!G35</f>
        <v>102293372.81999999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2005919172.7099974</v>
      </c>
      <c r="Q35" s="18">
        <f>'Formato 6 c)'!C43</f>
        <v>118758783.98999999</v>
      </c>
      <c r="R35" s="18">
        <f>'Formato 6 c)'!D43</f>
        <v>2124677956.7000022</v>
      </c>
      <c r="S35" s="18">
        <f>'Formato 6 c)'!E43</f>
        <v>855067805.31999946</v>
      </c>
      <c r="T35" s="18">
        <f>'Formato 6 c)'!F43</f>
        <v>847347634.49999928</v>
      </c>
      <c r="U35" s="18">
        <f>'Formato 6 c)'!G43</f>
        <v>1269610151.380003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1831401571.8699973</v>
      </c>
      <c r="Q45" s="18">
        <f>'Formato 6 c)'!C53</f>
        <v>29715106.880000021</v>
      </c>
      <c r="R45" s="18">
        <f>'Formato 6 c)'!D53</f>
        <v>1861116678.7500021</v>
      </c>
      <c r="S45" s="18">
        <f>'Formato 6 c)'!E53</f>
        <v>784739580.45999944</v>
      </c>
      <c r="T45" s="18">
        <f>'Formato 6 c)'!F53</f>
        <v>778256710.37999928</v>
      </c>
      <c r="U45" s="18">
        <f>'Formato 6 c)'!G53</f>
        <v>1076377098.2900028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1831401571.8699973</v>
      </c>
      <c r="Q50" s="18">
        <f>'Formato 6 c)'!C58</f>
        <v>29715106.880000021</v>
      </c>
      <c r="R50" s="18">
        <f>'Formato 6 c)'!D58</f>
        <v>1861116678.7500021</v>
      </c>
      <c r="S50" s="18">
        <f>'Formato 6 c)'!E58</f>
        <v>784739580.45999944</v>
      </c>
      <c r="T50" s="18">
        <f>'Formato 6 c)'!F58</f>
        <v>778256710.37999928</v>
      </c>
      <c r="U50" s="18">
        <f>'Formato 6 c)'!G58</f>
        <v>1076377098.2900028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174517600.84000009</v>
      </c>
      <c r="Q53" s="18">
        <f>'Formato 6 c)'!C61</f>
        <v>89043677.10999997</v>
      </c>
      <c r="R53" s="18">
        <f>'Formato 6 c)'!D61</f>
        <v>263561277.95000011</v>
      </c>
      <c r="S53" s="18">
        <f>'Formato 6 c)'!E61</f>
        <v>70328224.85999997</v>
      </c>
      <c r="T53" s="18">
        <f>'Formato 6 c)'!F61</f>
        <v>69090924.12000002</v>
      </c>
      <c r="U53" s="18">
        <f>'Formato 6 c)'!G61</f>
        <v>193233053.09000015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174517600.84000009</v>
      </c>
      <c r="Q61" s="18">
        <f>'Formato 6 c)'!C69</f>
        <v>89043677.10999997</v>
      </c>
      <c r="R61" s="18">
        <f>'Formato 6 c)'!D69</f>
        <v>263561277.95000011</v>
      </c>
      <c r="S61" s="18">
        <f>'Formato 6 c)'!E69</f>
        <v>70328224.85999997</v>
      </c>
      <c r="T61" s="18">
        <f>'Formato 6 c)'!F69</f>
        <v>69090924.12000002</v>
      </c>
      <c r="U61" s="18">
        <f>'Formato 6 c)'!G69</f>
        <v>193233053.09000015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4007116009.9899998</v>
      </c>
      <c r="Q68" s="18">
        <f>'Formato 6 c)'!C77</f>
        <v>41578727.629999921</v>
      </c>
      <c r="R68" s="18">
        <f>'Formato 6 c)'!D77</f>
        <v>4048694737.6200075</v>
      </c>
      <c r="S68" s="18">
        <f>'Formato 6 c)'!E77</f>
        <v>1462274856.9699988</v>
      </c>
      <c r="T68" s="18">
        <f>'Formato 6 c)'!F77</f>
        <v>1420531388.539999</v>
      </c>
      <c r="U68" s="18">
        <f>'Formato 6 c)'!G77</f>
        <v>2586419880.6500092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Universidad de Guanajuato, Gobierno del Estado de Guanajuato</v>
      </c>
    </row>
    <row r="7" spans="2:3" ht="14.25" x14ac:dyDescent="0.45">
      <c r="C7" t="str">
        <f>CONCATENATE(ENTE_PUBLICO," (a)")</f>
        <v>Universidad de Guanajuato,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807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Guanajuato, Gobierno del Estado de Guanajuato</v>
      </c>
    </row>
    <row r="12" spans="2:3" x14ac:dyDescent="0.25">
      <c r="B12" t="s">
        <v>794</v>
      </c>
      <c r="C12" s="24">
        <v>2020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1</v>
      </c>
    </row>
    <row r="16" spans="2:3" ht="14.25" x14ac:dyDescent="0.45">
      <c r="C16" s="24" t="s">
        <v>3304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marzo de 2020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marzo de 2020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marzo de 2020 (m = g – l)</v>
      </c>
    </row>
    <row r="20" spans="4:9" ht="57" x14ac:dyDescent="0.45">
      <c r="D20" s="21" t="str">
        <f>CONCATENATE(ANIO_INFORME, " (d)")</f>
        <v>2020 (d)</v>
      </c>
      <c r="E20" s="22" t="str">
        <f>CONCATENATE("31 de diciembre de ",ANIO_INFORME-1, " (e)")</f>
        <v>31 de diciembre de 2019 (e)</v>
      </c>
      <c r="F20" s="31" t="str">
        <f>CONCATENATE("Saldo al 31 de diciembre de ",ANIO_INFORME-1, " (d)")</f>
        <v>Saldo al 31 de diciembre de 2019 (d)</v>
      </c>
    </row>
    <row r="23" spans="4:9" ht="14.25" x14ac:dyDescent="0.45">
      <c r="D23" s="33">
        <f>ANIO_INFORME + 1</f>
        <v>2021</v>
      </c>
      <c r="E23" s="34" t="str">
        <f>CONCATENATE(ANIO_INFORME + 2, " (d)")</f>
        <v>2022 (d)</v>
      </c>
      <c r="F23" s="34" t="str">
        <f>CONCATENATE(ANIO_INFORME + 3, " (d)")</f>
        <v>2023 (d)</v>
      </c>
      <c r="G23" s="34" t="str">
        <f>CONCATENATE(ANIO_INFORME + 4, " (d)")</f>
        <v>2024 (d)</v>
      </c>
      <c r="H23" s="34" t="str">
        <f>CONCATENATE(ANIO_INFORME + 5, " (d)")</f>
        <v>2025 (d)</v>
      </c>
      <c r="I23" s="34" t="str">
        <f>CONCATENATE(ANIO_INFORME + 6, " (d)")</f>
        <v>2026 (d)</v>
      </c>
    </row>
    <row r="25" spans="4:9" x14ac:dyDescent="0.25">
      <c r="D25" s="35" t="str">
        <f>CONCATENATE(ANIO_INFORME - 5, " ",CHAR(185)," (c)")</f>
        <v>2015 ¹ (c)</v>
      </c>
      <c r="E25" s="35" t="str">
        <f>CONCATENATE(ANIO_INFORME - 4, " ",CHAR(185)," (c)")</f>
        <v>2016 ¹ (c)</v>
      </c>
      <c r="F25" s="35" t="str">
        <f>CONCATENATE(ANIO_INFORME - 3, " ",CHAR(185)," (c)")</f>
        <v>2017 ¹ (c)</v>
      </c>
      <c r="G25" s="35" t="str">
        <f>CONCATENATE(ANIO_INFORME - 2, " ",CHAR(185)," (c)")</f>
        <v>2018 ¹ (c)</v>
      </c>
      <c r="H25" s="35" t="str">
        <f>CONCATENATE(ANIO_INFORME - 1, " ",CHAR(185)," (c)")</f>
        <v>2019 ¹ (c)</v>
      </c>
      <c r="I25" s="33">
        <f>ANIO_INFORME</f>
        <v>2020</v>
      </c>
    </row>
    <row r="26" spans="4:9" ht="14.25" x14ac:dyDescent="0.45">
      <c r="D26" s="89"/>
    </row>
    <row r="29" spans="4:9" x14ac:dyDescent="0.25">
      <c r="D29" t="s">
        <v>3143</v>
      </c>
      <c r="E29" t="s">
        <v>3144</v>
      </c>
    </row>
    <row r="30" spans="4:9" x14ac:dyDescent="0.25">
      <c r="D30" s="135">
        <v>-1.7976931348623099E+100</v>
      </c>
      <c r="E30" s="135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36">
        <v>36526</v>
      </c>
      <c r="E33" s="136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/>
  <dimension ref="A1:G34"/>
  <sheetViews>
    <sheetView showGridLines="0" zoomScale="90" zoomScaleNormal="90" workbookViewId="0">
      <selection activeCell="A18" sqref="A18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4" t="s">
        <v>3287</v>
      </c>
      <c r="B1" s="173"/>
      <c r="C1" s="173"/>
      <c r="D1" s="173"/>
      <c r="E1" s="173"/>
      <c r="F1" s="173"/>
      <c r="G1" s="173"/>
    </row>
    <row r="2" spans="1:7" ht="14.25" x14ac:dyDescent="0.45">
      <c r="A2" s="155" t="str">
        <f>ENTE_PUBLICO_A</f>
        <v>Universidad de Guanajuato, Gobierno del Estado de Guanajuato (a)</v>
      </c>
      <c r="B2" s="156"/>
      <c r="C2" s="156"/>
      <c r="D2" s="156"/>
      <c r="E2" s="156"/>
      <c r="F2" s="156"/>
      <c r="G2" s="157"/>
    </row>
    <row r="3" spans="1:7" x14ac:dyDescent="0.25">
      <c r="A3" s="161" t="s">
        <v>277</v>
      </c>
      <c r="B3" s="162"/>
      <c r="C3" s="162"/>
      <c r="D3" s="162"/>
      <c r="E3" s="162"/>
      <c r="F3" s="162"/>
      <c r="G3" s="163"/>
    </row>
    <row r="4" spans="1:7" x14ac:dyDescent="0.25">
      <c r="A4" s="161" t="s">
        <v>399</v>
      </c>
      <c r="B4" s="162"/>
      <c r="C4" s="162"/>
      <c r="D4" s="162"/>
      <c r="E4" s="162"/>
      <c r="F4" s="162"/>
      <c r="G4" s="163"/>
    </row>
    <row r="5" spans="1:7" ht="14.25" x14ac:dyDescent="0.45">
      <c r="A5" s="161" t="str">
        <f>TRIMESTRE</f>
        <v>Del 1 de enero al 30 de marzo de 2020 (b)</v>
      </c>
      <c r="B5" s="162"/>
      <c r="C5" s="162"/>
      <c r="D5" s="162"/>
      <c r="E5" s="162"/>
      <c r="F5" s="162"/>
      <c r="G5" s="163"/>
    </row>
    <row r="6" spans="1:7" ht="14.25" x14ac:dyDescent="0.45">
      <c r="A6" s="164" t="s">
        <v>118</v>
      </c>
      <c r="B6" s="165"/>
      <c r="C6" s="165"/>
      <c r="D6" s="165"/>
      <c r="E6" s="165"/>
      <c r="F6" s="165"/>
      <c r="G6" s="166"/>
    </row>
    <row r="7" spans="1:7" x14ac:dyDescent="0.25">
      <c r="A7" s="170" t="s">
        <v>361</v>
      </c>
      <c r="B7" s="175" t="s">
        <v>279</v>
      </c>
      <c r="C7" s="175"/>
      <c r="D7" s="175"/>
      <c r="E7" s="175"/>
      <c r="F7" s="175"/>
      <c r="G7" s="175" t="s">
        <v>280</v>
      </c>
    </row>
    <row r="8" spans="1:7" ht="29.25" customHeight="1" x14ac:dyDescent="0.25">
      <c r="A8" s="171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2"/>
    </row>
    <row r="9" spans="1:7" ht="14.25" x14ac:dyDescent="0.45">
      <c r="A9" s="52" t="s">
        <v>400</v>
      </c>
      <c r="B9" s="66">
        <f>SUM(B10,B11,B12,B15,B16,B19)</f>
        <v>1084079858.9400001</v>
      </c>
      <c r="C9" s="66">
        <f t="shared" ref="C9:F9" si="0">SUM(C10,C11,C12,C15,C16,C19)</f>
        <v>19735130.479999989</v>
      </c>
      <c r="D9" s="66">
        <f t="shared" si="0"/>
        <v>1103814989.4200001</v>
      </c>
      <c r="E9" s="66">
        <f t="shared" si="0"/>
        <v>469750680.94999999</v>
      </c>
      <c r="F9" s="66">
        <f t="shared" si="0"/>
        <v>460326355.23000002</v>
      </c>
      <c r="G9" s="66">
        <f>SUM(G10,G11,G12,G15,G16,G19)</f>
        <v>634064308.47000003</v>
      </c>
    </row>
    <row r="10" spans="1:7" x14ac:dyDescent="0.25">
      <c r="A10" s="53" t="s">
        <v>401</v>
      </c>
      <c r="B10" s="194">
        <v>838632844.72000003</v>
      </c>
      <c r="C10" s="194">
        <v>33719217.649999976</v>
      </c>
      <c r="D10" s="194">
        <v>872352062.37</v>
      </c>
      <c r="E10" s="194">
        <v>370785907.63999999</v>
      </c>
      <c r="F10" s="194">
        <v>363330949.61000001</v>
      </c>
      <c r="G10" s="194">
        <f>D10-E10</f>
        <v>501566154.73000002</v>
      </c>
    </row>
    <row r="11" spans="1:7" x14ac:dyDescent="0.25">
      <c r="A11" s="53" t="s">
        <v>402</v>
      </c>
      <c r="B11" s="194">
        <v>229319817.41999999</v>
      </c>
      <c r="C11" s="194">
        <v>-15966201.169999987</v>
      </c>
      <c r="D11" s="194">
        <v>213353616.25</v>
      </c>
      <c r="E11" s="194">
        <v>90684160.290000007</v>
      </c>
      <c r="F11" s="194">
        <v>88860880.069999993</v>
      </c>
      <c r="G11" s="194">
        <f>D11-E11</f>
        <v>122669455.95999999</v>
      </c>
    </row>
    <row r="12" spans="1:7" x14ac:dyDescent="0.25">
      <c r="A12" s="53" t="s">
        <v>403</v>
      </c>
      <c r="B12" s="194">
        <f t="shared" ref="B12:G12" si="1">B13+B14</f>
        <v>16127196.800000001</v>
      </c>
      <c r="C12" s="194">
        <f t="shared" si="1"/>
        <v>967427.10999999987</v>
      </c>
      <c r="D12" s="194">
        <f t="shared" si="1"/>
        <v>17094623.91</v>
      </c>
      <c r="E12" s="194">
        <f t="shared" si="1"/>
        <v>7265926.1300000008</v>
      </c>
      <c r="F12" s="194">
        <f t="shared" si="1"/>
        <v>7119838.6600000001</v>
      </c>
      <c r="G12" s="194">
        <f t="shared" si="1"/>
        <v>9828697.7799999993</v>
      </c>
    </row>
    <row r="13" spans="1:7" x14ac:dyDescent="0.25">
      <c r="A13" s="63" t="s">
        <v>404</v>
      </c>
      <c r="B13" s="194">
        <v>11101880.26</v>
      </c>
      <c r="C13" s="194">
        <v>3463861.17</v>
      </c>
      <c r="D13" s="194">
        <v>14565741.43</v>
      </c>
      <c r="E13" s="194">
        <v>6191045.9000000004</v>
      </c>
      <c r="F13" s="194">
        <v>6066569.79</v>
      </c>
      <c r="G13" s="194">
        <f>D13-E13</f>
        <v>8374695.5299999993</v>
      </c>
    </row>
    <row r="14" spans="1:7" x14ac:dyDescent="0.25">
      <c r="A14" s="63" t="s">
        <v>405</v>
      </c>
      <c r="B14" s="194">
        <v>5025316.54</v>
      </c>
      <c r="C14" s="194">
        <v>-2496434.06</v>
      </c>
      <c r="D14" s="194">
        <v>2528882.48</v>
      </c>
      <c r="E14" s="194">
        <v>1074880.23</v>
      </c>
      <c r="F14" s="194">
        <v>1053268.8700000001</v>
      </c>
      <c r="G14" s="194">
        <f>D14-E14</f>
        <v>1454002.25</v>
      </c>
    </row>
    <row r="15" spans="1:7" x14ac:dyDescent="0.25">
      <c r="A15" s="53" t="s">
        <v>406</v>
      </c>
      <c r="B15" s="194">
        <v>0</v>
      </c>
      <c r="C15" s="194">
        <v>0</v>
      </c>
      <c r="D15" s="194">
        <v>0</v>
      </c>
      <c r="E15" s="194">
        <v>0</v>
      </c>
      <c r="F15" s="194">
        <v>0</v>
      </c>
      <c r="G15" s="194">
        <f>D15-E15</f>
        <v>0</v>
      </c>
    </row>
    <row r="16" spans="1:7" x14ac:dyDescent="0.25">
      <c r="A16" s="64" t="s">
        <v>407</v>
      </c>
      <c r="B16" s="194">
        <f t="shared" ref="B16:G16" si="2">B17+B18</f>
        <v>0</v>
      </c>
      <c r="C16" s="194">
        <f t="shared" si="2"/>
        <v>0</v>
      </c>
      <c r="D16" s="194">
        <f t="shared" si="2"/>
        <v>0</v>
      </c>
      <c r="E16" s="194">
        <f t="shared" si="2"/>
        <v>0</v>
      </c>
      <c r="F16" s="194">
        <f t="shared" si="2"/>
        <v>0</v>
      </c>
      <c r="G16" s="194">
        <f t="shared" si="2"/>
        <v>0</v>
      </c>
    </row>
    <row r="17" spans="1:7" x14ac:dyDescent="0.25">
      <c r="A17" s="63" t="s">
        <v>408</v>
      </c>
      <c r="B17" s="194">
        <v>0</v>
      </c>
      <c r="C17" s="194">
        <v>0</v>
      </c>
      <c r="D17" s="194">
        <v>0</v>
      </c>
      <c r="E17" s="194">
        <v>0</v>
      </c>
      <c r="F17" s="194">
        <v>0</v>
      </c>
      <c r="G17" s="194">
        <f>D17-E17</f>
        <v>0</v>
      </c>
    </row>
    <row r="18" spans="1:7" x14ac:dyDescent="0.25">
      <c r="A18" s="63" t="s">
        <v>409</v>
      </c>
      <c r="B18" s="194">
        <v>0</v>
      </c>
      <c r="C18" s="194">
        <v>0</v>
      </c>
      <c r="D18" s="194">
        <v>0</v>
      </c>
      <c r="E18" s="194">
        <v>0</v>
      </c>
      <c r="F18" s="194">
        <v>0</v>
      </c>
      <c r="G18" s="194">
        <f>D18-E18</f>
        <v>0</v>
      </c>
    </row>
    <row r="19" spans="1:7" x14ac:dyDescent="0.25">
      <c r="A19" s="53" t="s">
        <v>410</v>
      </c>
      <c r="B19" s="194">
        <v>0</v>
      </c>
      <c r="C19" s="194">
        <v>1014686.89</v>
      </c>
      <c r="D19" s="194">
        <v>1014686.89</v>
      </c>
      <c r="E19" s="194">
        <v>1014686.89</v>
      </c>
      <c r="F19" s="194">
        <v>1014686.89</v>
      </c>
      <c r="G19" s="194">
        <f>D19-E19</f>
        <v>0</v>
      </c>
    </row>
    <row r="20" spans="1:7" ht="14.25" x14ac:dyDescent="0.45">
      <c r="A20" s="54"/>
      <c r="B20" s="67"/>
      <c r="C20" s="67"/>
      <c r="D20" s="67"/>
      <c r="E20" s="67"/>
      <c r="F20" s="67"/>
      <c r="G20" s="67"/>
    </row>
    <row r="21" spans="1:7" s="24" customFormat="1" ht="14.25" x14ac:dyDescent="0.45">
      <c r="A21" s="14" t="s">
        <v>411</v>
      </c>
      <c r="B21" s="66">
        <f>SUM(B22,B23,B24,B27,B28,B31)</f>
        <v>1787651320.47</v>
      </c>
      <c r="C21" s="66">
        <f t="shared" ref="C21:F21" si="3">SUM(C22,C23,C24,C27,C28,C31)</f>
        <v>-1035220.9299999995</v>
      </c>
      <c r="D21" s="66">
        <f t="shared" si="3"/>
        <v>1786616099.54</v>
      </c>
      <c r="E21" s="66">
        <f t="shared" si="3"/>
        <v>808101588.4000001</v>
      </c>
      <c r="F21" s="66">
        <f t="shared" si="3"/>
        <v>801997589.20000005</v>
      </c>
      <c r="G21" s="66">
        <f>SUM(G22,G23,G24,G27,G28,G31)</f>
        <v>978514511.13999987</v>
      </c>
    </row>
    <row r="22" spans="1:7" s="24" customFormat="1" x14ac:dyDescent="0.25">
      <c r="A22" s="53" t="s">
        <v>401</v>
      </c>
      <c r="B22" s="194">
        <v>287688840.74000001</v>
      </c>
      <c r="C22" s="194">
        <v>-8897390.1799999997</v>
      </c>
      <c r="D22" s="194">
        <v>278791450.56</v>
      </c>
      <c r="E22" s="194">
        <v>126076402.19</v>
      </c>
      <c r="F22" s="194">
        <v>125123761.70999999</v>
      </c>
      <c r="G22" s="194">
        <f>D22-E22</f>
        <v>152715048.37</v>
      </c>
    </row>
    <row r="23" spans="1:7" s="24" customFormat="1" x14ac:dyDescent="0.25">
      <c r="A23" s="53" t="s">
        <v>402</v>
      </c>
      <c r="B23" s="194">
        <v>1495981520.05</v>
      </c>
      <c r="C23" s="194">
        <v>7741591.0700000003</v>
      </c>
      <c r="D23" s="194">
        <v>1503723111.1199999</v>
      </c>
      <c r="E23" s="194">
        <v>680020852.00999999</v>
      </c>
      <c r="F23" s="194">
        <v>674882575.70000005</v>
      </c>
      <c r="G23" s="194">
        <f>D23-E23</f>
        <v>823702259.1099999</v>
      </c>
    </row>
    <row r="24" spans="1:7" s="24" customFormat="1" x14ac:dyDescent="0.25">
      <c r="A24" s="53" t="s">
        <v>403</v>
      </c>
      <c r="B24" s="194">
        <f t="shared" ref="B24:G24" si="4">B25+B26</f>
        <v>3980959.6799999997</v>
      </c>
      <c r="C24" s="194">
        <f t="shared" si="4"/>
        <v>-152375.30000000002</v>
      </c>
      <c r="D24" s="194">
        <f t="shared" si="4"/>
        <v>3828584.38</v>
      </c>
      <c r="E24" s="194">
        <f t="shared" si="4"/>
        <v>1731380.7200000002</v>
      </c>
      <c r="F24" s="194">
        <f t="shared" si="4"/>
        <v>1718298.31</v>
      </c>
      <c r="G24" s="194">
        <f t="shared" si="4"/>
        <v>2097203.6599999997</v>
      </c>
    </row>
    <row r="25" spans="1:7" s="24" customFormat="1" x14ac:dyDescent="0.25">
      <c r="A25" s="63" t="s">
        <v>404</v>
      </c>
      <c r="B25" s="194">
        <v>1051055.0900000001</v>
      </c>
      <c r="C25" s="194">
        <v>79281.87</v>
      </c>
      <c r="D25" s="194">
        <v>1130336.96</v>
      </c>
      <c r="E25" s="194">
        <v>511166.38</v>
      </c>
      <c r="F25" s="194">
        <v>507303.98</v>
      </c>
      <c r="G25" s="194">
        <f>D25-E25</f>
        <v>619170.57999999996</v>
      </c>
    </row>
    <row r="26" spans="1:7" s="24" customFormat="1" x14ac:dyDescent="0.25">
      <c r="A26" s="63" t="s">
        <v>405</v>
      </c>
      <c r="B26" s="194">
        <v>2929904.59</v>
      </c>
      <c r="C26" s="194">
        <v>-231657.17</v>
      </c>
      <c r="D26" s="194">
        <v>2698247.42</v>
      </c>
      <c r="E26" s="194">
        <v>1220214.3400000001</v>
      </c>
      <c r="F26" s="194">
        <v>1210994.33</v>
      </c>
      <c r="G26" s="194">
        <f>D26-E26</f>
        <v>1478033.0799999998</v>
      </c>
    </row>
    <row r="27" spans="1:7" s="24" customFormat="1" x14ac:dyDescent="0.25">
      <c r="A27" s="53" t="s">
        <v>406</v>
      </c>
      <c r="B27" s="194">
        <v>0</v>
      </c>
      <c r="C27" s="194">
        <v>0</v>
      </c>
      <c r="D27" s="194">
        <v>0</v>
      </c>
      <c r="E27" s="194">
        <v>0</v>
      </c>
      <c r="F27" s="194">
        <v>0</v>
      </c>
      <c r="G27" s="194">
        <f>D27-E27</f>
        <v>0</v>
      </c>
    </row>
    <row r="28" spans="1:7" s="24" customFormat="1" x14ac:dyDescent="0.25">
      <c r="A28" s="64" t="s">
        <v>407</v>
      </c>
      <c r="B28" s="194">
        <f>B29+B30</f>
        <v>0</v>
      </c>
      <c r="C28" s="194">
        <f>C29+C30</f>
        <v>0</v>
      </c>
      <c r="D28" s="194">
        <f>D29+D30</f>
        <v>0</v>
      </c>
      <c r="E28" s="194">
        <f>E29+E30</f>
        <v>0</v>
      </c>
      <c r="F28" s="194">
        <v>0</v>
      </c>
      <c r="G28" s="194">
        <f>G29+G30</f>
        <v>0</v>
      </c>
    </row>
    <row r="29" spans="1:7" s="24" customFormat="1" x14ac:dyDescent="0.25">
      <c r="A29" s="63" t="s">
        <v>408</v>
      </c>
      <c r="B29" s="194">
        <v>0</v>
      </c>
      <c r="C29" s="194">
        <v>0</v>
      </c>
      <c r="D29" s="194">
        <v>0</v>
      </c>
      <c r="E29" s="194">
        <v>0</v>
      </c>
      <c r="F29" s="194">
        <v>0</v>
      </c>
      <c r="G29" s="194">
        <f>D29-E29</f>
        <v>0</v>
      </c>
    </row>
    <row r="30" spans="1:7" s="24" customFormat="1" x14ac:dyDescent="0.25">
      <c r="A30" s="63" t="s">
        <v>409</v>
      </c>
      <c r="B30" s="194">
        <v>0</v>
      </c>
      <c r="C30" s="194">
        <v>0</v>
      </c>
      <c r="D30" s="194">
        <v>0</v>
      </c>
      <c r="E30" s="194">
        <v>0</v>
      </c>
      <c r="F30" s="194">
        <v>0</v>
      </c>
      <c r="G30" s="194">
        <f>D30-E30</f>
        <v>0</v>
      </c>
    </row>
    <row r="31" spans="1:7" s="24" customFormat="1" x14ac:dyDescent="0.25">
      <c r="A31" s="53" t="s">
        <v>410</v>
      </c>
      <c r="B31" s="194">
        <v>0</v>
      </c>
      <c r="C31" s="194">
        <v>272953.48</v>
      </c>
      <c r="D31" s="194">
        <v>272953.48</v>
      </c>
      <c r="E31" s="194">
        <v>272953.48</v>
      </c>
      <c r="F31" s="194">
        <v>272953.48</v>
      </c>
      <c r="G31" s="194">
        <f>D31-E31</f>
        <v>0</v>
      </c>
    </row>
    <row r="32" spans="1:7" x14ac:dyDescent="0.25">
      <c r="A32" s="54"/>
      <c r="B32" s="67"/>
      <c r="C32" s="67"/>
      <c r="D32" s="67"/>
      <c r="E32" s="67"/>
      <c r="F32" s="67"/>
      <c r="G32" s="67"/>
    </row>
    <row r="33" spans="1:7" x14ac:dyDescent="0.25">
      <c r="A33" s="55" t="s">
        <v>412</v>
      </c>
      <c r="B33" s="66">
        <f>B21+B9</f>
        <v>2871731179.4099998</v>
      </c>
      <c r="C33" s="66">
        <f t="shared" ref="C33:G33" si="5">C21+C9</f>
        <v>18699909.54999999</v>
      </c>
      <c r="D33" s="66">
        <f t="shared" si="5"/>
        <v>2890431088.96</v>
      </c>
      <c r="E33" s="66">
        <f t="shared" si="5"/>
        <v>1277852269.3500001</v>
      </c>
      <c r="F33" s="66">
        <f t="shared" si="5"/>
        <v>1262323944.4300001</v>
      </c>
      <c r="G33" s="66">
        <f t="shared" si="5"/>
        <v>1612578819.6099999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13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1084079858.9400001</v>
      </c>
      <c r="Q2" s="18">
        <f>'Formato 6 d)'!C9</f>
        <v>19735130.479999989</v>
      </c>
      <c r="R2" s="18">
        <f>'Formato 6 d)'!D9</f>
        <v>1103814989.4200001</v>
      </c>
      <c r="S2" s="18">
        <f>'Formato 6 d)'!E9</f>
        <v>469750680.94999999</v>
      </c>
      <c r="T2" s="18">
        <f>'Formato 6 d)'!F9</f>
        <v>460326355.23000002</v>
      </c>
      <c r="U2" s="18">
        <f>'Formato 6 d)'!G9</f>
        <v>634064308.47000003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838632844.72000003</v>
      </c>
      <c r="Q3" s="18">
        <f>'Formato 6 d)'!C10</f>
        <v>33719217.649999976</v>
      </c>
      <c r="R3" s="18">
        <f>'Formato 6 d)'!D10</f>
        <v>872352062.37</v>
      </c>
      <c r="S3" s="18">
        <f>'Formato 6 d)'!E10</f>
        <v>370785907.63999999</v>
      </c>
      <c r="T3" s="18">
        <f>'Formato 6 d)'!F10</f>
        <v>363330949.61000001</v>
      </c>
      <c r="U3" s="18">
        <f>'Formato 6 d)'!G10</f>
        <v>501566154.73000002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229319817.41999999</v>
      </c>
      <c r="Q4" s="18">
        <f>'Formato 6 d)'!C11</f>
        <v>-15966201.169999987</v>
      </c>
      <c r="R4" s="18">
        <f>'Formato 6 d)'!D11</f>
        <v>213353616.25</v>
      </c>
      <c r="S4" s="18">
        <f>'Formato 6 d)'!E11</f>
        <v>90684160.290000007</v>
      </c>
      <c r="T4" s="18">
        <f>'Formato 6 d)'!F11</f>
        <v>88860880.069999993</v>
      </c>
      <c r="U4" s="18">
        <f>'Formato 6 d)'!G11</f>
        <v>122669455.95999999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16127196.800000001</v>
      </c>
      <c r="Q5" s="18">
        <f>'Formato 6 d)'!C12</f>
        <v>967427.10999999987</v>
      </c>
      <c r="R5" s="18">
        <f>'Formato 6 d)'!D12</f>
        <v>17094623.91</v>
      </c>
      <c r="S5" s="18">
        <f>'Formato 6 d)'!E12</f>
        <v>7265926.1300000008</v>
      </c>
      <c r="T5" s="18">
        <f>'Formato 6 d)'!F12</f>
        <v>7119838.6600000001</v>
      </c>
      <c r="U5" s="18">
        <f>'Formato 6 d)'!G12</f>
        <v>9828697.7799999993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11101880.26</v>
      </c>
      <c r="Q6" s="18">
        <f>'Formato 6 d)'!C13</f>
        <v>3463861.17</v>
      </c>
      <c r="R6" s="18">
        <f>'Formato 6 d)'!D13</f>
        <v>14565741.43</v>
      </c>
      <c r="S6" s="18">
        <f>'Formato 6 d)'!E13</f>
        <v>6191045.9000000004</v>
      </c>
      <c r="T6" s="18">
        <f>'Formato 6 d)'!F13</f>
        <v>6066569.79</v>
      </c>
      <c r="U6" s="18">
        <f>'Formato 6 d)'!G13</f>
        <v>8374695.5299999993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5025316.54</v>
      </c>
      <c r="Q7" s="18">
        <f>'Formato 6 d)'!C14</f>
        <v>-2496434.06</v>
      </c>
      <c r="R7" s="18">
        <f>'Formato 6 d)'!D14</f>
        <v>2528882.48</v>
      </c>
      <c r="S7" s="18">
        <f>'Formato 6 d)'!E14</f>
        <v>1074880.23</v>
      </c>
      <c r="T7" s="18">
        <f>'Formato 6 d)'!F14</f>
        <v>1053268.8700000001</v>
      </c>
      <c r="U7" s="18">
        <f>'Formato 6 d)'!G14</f>
        <v>1454002.25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1014686.89</v>
      </c>
      <c r="R12" s="18">
        <f>'Formato 6 d)'!D19</f>
        <v>1014686.89</v>
      </c>
      <c r="S12" s="18">
        <f>'Formato 6 d)'!E19</f>
        <v>1014686.89</v>
      </c>
      <c r="T12" s="18">
        <f>'Formato 6 d)'!F19</f>
        <v>1014686.89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1787651320.47</v>
      </c>
      <c r="Q13" s="18">
        <f>'Formato 6 d)'!C21</f>
        <v>-1035220.9299999995</v>
      </c>
      <c r="R13" s="18">
        <f>'Formato 6 d)'!D21</f>
        <v>1786616099.54</v>
      </c>
      <c r="S13" s="18">
        <f>'Formato 6 d)'!E21</f>
        <v>808101588.4000001</v>
      </c>
      <c r="T13" s="18">
        <f>'Formato 6 d)'!F21</f>
        <v>801997589.20000005</v>
      </c>
      <c r="U13" s="18">
        <f>'Formato 6 d)'!G21</f>
        <v>978514511.13999987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287688840.74000001</v>
      </c>
      <c r="Q14" s="18">
        <f>'Formato 6 d)'!C22</f>
        <v>-8897390.1799999997</v>
      </c>
      <c r="R14" s="18">
        <f>'Formato 6 d)'!D22</f>
        <v>278791450.56</v>
      </c>
      <c r="S14" s="18">
        <f>'Formato 6 d)'!E22</f>
        <v>126076402.19</v>
      </c>
      <c r="T14" s="18">
        <f>'Formato 6 d)'!F22</f>
        <v>125123761.70999999</v>
      </c>
      <c r="U14" s="18">
        <f>'Formato 6 d)'!G22</f>
        <v>152715048.37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1495981520.05</v>
      </c>
      <c r="Q15" s="18">
        <f>'Formato 6 d)'!C23</f>
        <v>7741591.0700000003</v>
      </c>
      <c r="R15" s="18">
        <f>'Formato 6 d)'!D23</f>
        <v>1503723111.1199999</v>
      </c>
      <c r="S15" s="18">
        <f>'Formato 6 d)'!E23</f>
        <v>680020852.00999999</v>
      </c>
      <c r="T15" s="18">
        <f>'Formato 6 d)'!F23</f>
        <v>674882575.70000005</v>
      </c>
      <c r="U15" s="18">
        <f>'Formato 6 d)'!G23</f>
        <v>823702259.1099999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3980959.6799999997</v>
      </c>
      <c r="Q16" s="18">
        <f>'Formato 6 d)'!C24</f>
        <v>-152375.30000000002</v>
      </c>
      <c r="R16" s="18">
        <f>'Formato 6 d)'!D24</f>
        <v>3828584.38</v>
      </c>
      <c r="S16" s="18">
        <f>'Formato 6 d)'!E24</f>
        <v>1731380.7200000002</v>
      </c>
      <c r="T16" s="18">
        <f>'Formato 6 d)'!F24</f>
        <v>1718298.31</v>
      </c>
      <c r="U16" s="18">
        <f>'Formato 6 d)'!G24</f>
        <v>2097203.6599999997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1051055.0900000001</v>
      </c>
      <c r="Q17" s="18">
        <f>'Formato 6 d)'!C25</f>
        <v>79281.87</v>
      </c>
      <c r="R17" s="18">
        <f>'Formato 6 d)'!D25</f>
        <v>1130336.96</v>
      </c>
      <c r="S17" s="18">
        <f>'Formato 6 d)'!E25</f>
        <v>511166.38</v>
      </c>
      <c r="T17" s="18">
        <f>'Formato 6 d)'!F25</f>
        <v>507303.98</v>
      </c>
      <c r="U17" s="18">
        <f>'Formato 6 d)'!G25</f>
        <v>619170.57999999996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2929904.59</v>
      </c>
      <c r="Q18" s="18">
        <f>'Formato 6 d)'!C26</f>
        <v>-231657.17</v>
      </c>
      <c r="R18" s="18">
        <f>'Formato 6 d)'!D26</f>
        <v>2698247.42</v>
      </c>
      <c r="S18" s="18">
        <f>'Formato 6 d)'!E26</f>
        <v>1220214.3400000001</v>
      </c>
      <c r="T18" s="18">
        <f>'Formato 6 d)'!F26</f>
        <v>1210994.33</v>
      </c>
      <c r="U18" s="18">
        <f>'Formato 6 d)'!G26</f>
        <v>1478033.0799999998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272953.48</v>
      </c>
      <c r="R23" s="18">
        <f>'Formato 6 d)'!D31</f>
        <v>272953.48</v>
      </c>
      <c r="S23" s="18">
        <f>'Formato 6 d)'!E31</f>
        <v>272953.48</v>
      </c>
      <c r="T23" s="18">
        <f>'Formato 6 d)'!F31</f>
        <v>272953.48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2871731179.4099998</v>
      </c>
      <c r="Q24" s="18">
        <f>'Formato 6 d)'!C33</f>
        <v>18699909.54999999</v>
      </c>
      <c r="R24" s="18">
        <f>'Formato 6 d)'!D33</f>
        <v>2890431088.96</v>
      </c>
      <c r="S24" s="18">
        <f>'Formato 6 d)'!E33</f>
        <v>1277852269.3500001</v>
      </c>
      <c r="T24" s="18">
        <f>'Formato 6 d)'!F33</f>
        <v>1262323944.4300001</v>
      </c>
      <c r="U24" s="18">
        <f>'Formato 6 d)'!G33</f>
        <v>1612578819.6099999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0"/>
  <dimension ref="A1:G43"/>
  <sheetViews>
    <sheetView showGridLines="0" zoomScale="85" zoomScaleNormal="85" zoomScalePageLayoutView="90" workbookViewId="0">
      <selection activeCell="B13" sqref="B13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73" t="s">
        <v>413</v>
      </c>
      <c r="B1" s="173"/>
      <c r="C1" s="173"/>
      <c r="D1" s="173"/>
      <c r="E1" s="173"/>
      <c r="F1" s="173"/>
      <c r="G1" s="173"/>
    </row>
    <row r="2" spans="1:7" ht="14.25" x14ac:dyDescent="0.45">
      <c r="A2" s="155" t="str">
        <f>ENTIDAD</f>
        <v>Municipio de Guanajuato, Gobierno del Estado de Guanajuato</v>
      </c>
      <c r="B2" s="156"/>
      <c r="C2" s="156"/>
      <c r="D2" s="156"/>
      <c r="E2" s="156"/>
      <c r="F2" s="156"/>
      <c r="G2" s="157"/>
    </row>
    <row r="3" spans="1:7" ht="14.25" x14ac:dyDescent="0.45">
      <c r="A3" s="158" t="s">
        <v>414</v>
      </c>
      <c r="B3" s="159"/>
      <c r="C3" s="159"/>
      <c r="D3" s="159"/>
      <c r="E3" s="159"/>
      <c r="F3" s="159"/>
      <c r="G3" s="160"/>
    </row>
    <row r="4" spans="1:7" ht="14.25" x14ac:dyDescent="0.45">
      <c r="A4" s="158" t="s">
        <v>118</v>
      </c>
      <c r="B4" s="159"/>
      <c r="C4" s="159"/>
      <c r="D4" s="159"/>
      <c r="E4" s="159"/>
      <c r="F4" s="159"/>
      <c r="G4" s="160"/>
    </row>
    <row r="5" spans="1:7" ht="14.25" x14ac:dyDescent="0.45">
      <c r="A5" s="158" t="s">
        <v>415</v>
      </c>
      <c r="B5" s="159"/>
      <c r="C5" s="159"/>
      <c r="D5" s="159"/>
      <c r="E5" s="159"/>
      <c r="F5" s="159"/>
      <c r="G5" s="160"/>
    </row>
    <row r="6" spans="1:7" x14ac:dyDescent="0.25">
      <c r="A6" s="170" t="s">
        <v>3288</v>
      </c>
      <c r="B6" s="51">
        <f>ANIO1P</f>
        <v>2021</v>
      </c>
      <c r="C6" s="183" t="str">
        <f>ANIO2P</f>
        <v>2022 (d)</v>
      </c>
      <c r="D6" s="183" t="str">
        <f>ANIO3P</f>
        <v>2023 (d)</v>
      </c>
      <c r="E6" s="183" t="str">
        <f>ANIO4P</f>
        <v>2024 (d)</v>
      </c>
      <c r="F6" s="183" t="str">
        <f>ANIO5P</f>
        <v>2025 (d)</v>
      </c>
      <c r="G6" s="183" t="str">
        <f>ANIO6P</f>
        <v>2026 (d)</v>
      </c>
    </row>
    <row r="7" spans="1:7" ht="48" customHeight="1" x14ac:dyDescent="0.25">
      <c r="A7" s="171"/>
      <c r="B7" s="85" t="s">
        <v>3291</v>
      </c>
      <c r="C7" s="184"/>
      <c r="D7" s="184"/>
      <c r="E7" s="184"/>
      <c r="F7" s="184"/>
      <c r="G7" s="184"/>
    </row>
    <row r="8" spans="1:7" x14ac:dyDescent="0.25">
      <c r="A8" s="52" t="s">
        <v>421</v>
      </c>
      <c r="B8" s="59">
        <f>SUM(B9:B20)</f>
        <v>12</v>
      </c>
      <c r="C8" s="59">
        <f t="shared" ref="C8:G8" si="0">SUM(C9:C20)</f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ht="14.25" x14ac:dyDescent="0.4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ht="14.25" x14ac:dyDescent="0.4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ht="14.25" x14ac:dyDescent="0.4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ht="14.25" x14ac:dyDescent="0.4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ht="14.25" x14ac:dyDescent="0.4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ht="14.25" x14ac:dyDescent="0.4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ht="14.25" x14ac:dyDescent="0.4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ht="14.25" x14ac:dyDescent="0.4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ht="14.25" x14ac:dyDescent="0.4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5</v>
      </c>
      <c r="C22" s="61">
        <f t="shared" ref="C22:G22" si="1">SUM(C23:C27)</f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ht="14.25" x14ac:dyDescent="0.4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1</v>
      </c>
      <c r="C29" s="61">
        <f t="shared" ref="C29:G29" si="2">C30</f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x14ac:dyDescent="0.2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18</v>
      </c>
      <c r="C32" s="61">
        <f t="shared" ref="C32:F32" si="3">C29+C22+C8</f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>G29+G22+G8</f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>B36+B35</f>
        <v>2</v>
      </c>
      <c r="C37" s="61">
        <f t="shared" ref="C37:F37" si="4">C36+C35</f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500-000000000000}"/>
    <dataValidation allowBlank="1" showInputMessage="1" showErrorMessage="1" prompt="Año 2 (d)" sqref="D6:D7" xr:uid="{00000000-0002-0000-1500-000001000000}"/>
    <dataValidation allowBlank="1" showInputMessage="1" showErrorMessage="1" prompt="Año 3 (d)" sqref="E6:E7" xr:uid="{00000000-0002-0000-1500-000002000000}"/>
    <dataValidation allowBlank="1" showInputMessage="1" showErrorMessage="1" prompt="Año 4 (d)" sqref="F6:F7" xr:uid="{00000000-0002-0000-1500-000003000000}"/>
    <dataValidation allowBlank="1" showInputMessage="1" showErrorMessage="1" prompt="Año 5 (d)" sqref="G6:G7" xr:uid="{00000000-0002-0000-1500-000004000000}"/>
    <dataValidation type="decimal" allowBlank="1" showInputMessage="1" showErrorMessage="1" sqref="B8:G37" xr:uid="{00000000-0002-0000-15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500-000006000000}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11"/>
  <dimension ref="A1:G31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73" t="s">
        <v>451</v>
      </c>
      <c r="B1" s="173"/>
      <c r="C1" s="173"/>
      <c r="D1" s="173"/>
      <c r="E1" s="173"/>
      <c r="F1" s="173"/>
      <c r="G1" s="173"/>
    </row>
    <row r="2" spans="1:7" customFormat="1" ht="14.25" x14ac:dyDescent="0.45">
      <c r="A2" s="155" t="str">
        <f>ENTIDAD</f>
        <v>Municipio de Guanajuato, Gobierno del Estado de Guanajuato</v>
      </c>
      <c r="B2" s="156"/>
      <c r="C2" s="156"/>
      <c r="D2" s="156"/>
      <c r="E2" s="156"/>
      <c r="F2" s="156"/>
      <c r="G2" s="157"/>
    </row>
    <row r="3" spans="1:7" customFormat="1" ht="14.25" x14ac:dyDescent="0.45">
      <c r="A3" s="158" t="s">
        <v>452</v>
      </c>
      <c r="B3" s="159"/>
      <c r="C3" s="159"/>
      <c r="D3" s="159"/>
      <c r="E3" s="159"/>
      <c r="F3" s="159"/>
      <c r="G3" s="160"/>
    </row>
    <row r="4" spans="1:7" customFormat="1" ht="14.25" x14ac:dyDescent="0.45">
      <c r="A4" s="158" t="s">
        <v>118</v>
      </c>
      <c r="B4" s="159"/>
      <c r="C4" s="159"/>
      <c r="D4" s="159"/>
      <c r="E4" s="159"/>
      <c r="F4" s="159"/>
      <c r="G4" s="160"/>
    </row>
    <row r="5" spans="1:7" customFormat="1" ht="14.25" x14ac:dyDescent="0.45">
      <c r="A5" s="158" t="s">
        <v>415</v>
      </c>
      <c r="B5" s="159"/>
      <c r="C5" s="159"/>
      <c r="D5" s="159"/>
      <c r="E5" s="159"/>
      <c r="F5" s="159"/>
      <c r="G5" s="160"/>
    </row>
    <row r="6" spans="1:7" customFormat="1" x14ac:dyDescent="0.25">
      <c r="A6" s="185" t="s">
        <v>3142</v>
      </c>
      <c r="B6" s="51">
        <f>ANIO1P</f>
        <v>2021</v>
      </c>
      <c r="C6" s="183" t="str">
        <f>ANIO2P</f>
        <v>2022 (d)</v>
      </c>
      <c r="D6" s="183" t="str">
        <f>ANIO3P</f>
        <v>2023 (d)</v>
      </c>
      <c r="E6" s="183" t="str">
        <f>ANIO4P</f>
        <v>2024 (d)</v>
      </c>
      <c r="F6" s="183" t="str">
        <f>ANIO5P</f>
        <v>2025 (d)</v>
      </c>
      <c r="G6" s="183" t="str">
        <f>ANIO6P</f>
        <v>2026 (d)</v>
      </c>
    </row>
    <row r="7" spans="1:7" customFormat="1" ht="48" customHeight="1" x14ac:dyDescent="0.25">
      <c r="A7" s="186"/>
      <c r="B7" s="85" t="s">
        <v>3291</v>
      </c>
      <c r="C7" s="184"/>
      <c r="D7" s="184"/>
      <c r="E7" s="184"/>
      <c r="F7" s="184"/>
      <c r="G7" s="184"/>
    </row>
    <row r="8" spans="1:7" x14ac:dyDescent="0.25">
      <c r="A8" s="52" t="s">
        <v>453</v>
      </c>
      <c r="B8" s="59">
        <f>SUM(B9:B17)</f>
        <v>2071238726.5848</v>
      </c>
      <c r="C8" s="59">
        <f t="shared" ref="C8:G8" si="0">SUM(C9:C17)</f>
        <v>2143732082.0152678</v>
      </c>
      <c r="D8" s="59">
        <f t="shared" si="0"/>
        <v>2218762704.8858023</v>
      </c>
      <c r="E8" s="59">
        <f t="shared" si="0"/>
        <v>2296419399.5568051</v>
      </c>
      <c r="F8" s="59">
        <f t="shared" si="0"/>
        <v>2376794078.5412927</v>
      </c>
      <c r="G8" s="59">
        <f t="shared" si="0"/>
        <v>2376794078.5412927</v>
      </c>
    </row>
    <row r="9" spans="1:7" x14ac:dyDescent="0.25">
      <c r="A9" s="53" t="s">
        <v>454</v>
      </c>
      <c r="B9" s="145">
        <v>1122022654.0028999</v>
      </c>
      <c r="C9" s="145">
        <v>1161293446.8930013</v>
      </c>
      <c r="D9" s="145">
        <v>1201938717.5342562</v>
      </c>
      <c r="E9" s="145">
        <v>1244006572.6479552</v>
      </c>
      <c r="F9" s="145">
        <v>1287546802.6906335</v>
      </c>
      <c r="G9" s="145">
        <v>1287546802.6906335</v>
      </c>
    </row>
    <row r="10" spans="1:7" x14ac:dyDescent="0.25">
      <c r="A10" s="53" t="s">
        <v>455</v>
      </c>
      <c r="B10" s="145">
        <v>65629330.914600022</v>
      </c>
      <c r="C10" s="145">
        <v>67926357.496611014</v>
      </c>
      <c r="D10" s="145">
        <v>70303780.008992389</v>
      </c>
      <c r="E10" s="145">
        <v>72764412.309307113</v>
      </c>
      <c r="F10" s="145">
        <v>75311166.740132853</v>
      </c>
      <c r="G10" s="145">
        <v>75311166.740132853</v>
      </c>
    </row>
    <row r="11" spans="1:7" x14ac:dyDescent="0.25">
      <c r="A11" s="53" t="s">
        <v>456</v>
      </c>
      <c r="B11" s="145">
        <v>312770491.83719993</v>
      </c>
      <c r="C11" s="145">
        <v>323717459.05150187</v>
      </c>
      <c r="D11" s="145">
        <v>335047570.11830443</v>
      </c>
      <c r="E11" s="145">
        <v>346774235.07244503</v>
      </c>
      <c r="F11" s="145">
        <v>358911333.29998058</v>
      </c>
      <c r="G11" s="145">
        <v>358911333.29998058</v>
      </c>
    </row>
    <row r="12" spans="1:7" x14ac:dyDescent="0.25">
      <c r="A12" s="53" t="s">
        <v>457</v>
      </c>
      <c r="B12" s="145">
        <v>107699736.91905001</v>
      </c>
      <c r="C12" s="145">
        <v>111469227.71121675</v>
      </c>
      <c r="D12" s="145">
        <v>115370650.68110932</v>
      </c>
      <c r="E12" s="145">
        <v>119408623.45494814</v>
      </c>
      <c r="F12" s="145">
        <v>123587925.27587132</v>
      </c>
      <c r="G12" s="145">
        <v>123587925.27587132</v>
      </c>
    </row>
    <row r="13" spans="1:7" x14ac:dyDescent="0.25">
      <c r="A13" s="53" t="s">
        <v>458</v>
      </c>
      <c r="B13" s="145">
        <v>221186505.13874996</v>
      </c>
      <c r="C13" s="145">
        <v>228928032.8186062</v>
      </c>
      <c r="D13" s="145">
        <v>236940513.96725741</v>
      </c>
      <c r="E13" s="145">
        <v>245233431.9561114</v>
      </c>
      <c r="F13" s="145">
        <v>253816602.07457528</v>
      </c>
      <c r="G13" s="145">
        <v>253816602.07457528</v>
      </c>
    </row>
    <row r="14" spans="1:7" x14ac:dyDescent="0.25">
      <c r="A14" s="53" t="s">
        <v>459</v>
      </c>
      <c r="B14" s="145">
        <v>241930007.7723</v>
      </c>
      <c r="C14" s="145">
        <v>250397558.04433048</v>
      </c>
      <c r="D14" s="145">
        <v>259161472.57588202</v>
      </c>
      <c r="E14" s="145">
        <v>268232124.11603788</v>
      </c>
      <c r="F14" s="145">
        <v>277620248.46009916</v>
      </c>
      <c r="G14" s="145">
        <v>277620248.46009916</v>
      </c>
    </row>
    <row r="15" spans="1:7" x14ac:dyDescent="0.25">
      <c r="A15" s="53" t="s">
        <v>460</v>
      </c>
      <c r="B15" s="145">
        <v>0</v>
      </c>
      <c r="C15" s="145">
        <v>0</v>
      </c>
      <c r="D15" s="145">
        <v>0</v>
      </c>
      <c r="E15" s="145">
        <v>0</v>
      </c>
      <c r="F15" s="145">
        <v>0</v>
      </c>
      <c r="G15" s="145">
        <v>0</v>
      </c>
    </row>
    <row r="16" spans="1:7" x14ac:dyDescent="0.25">
      <c r="A16" s="53" t="s">
        <v>461</v>
      </c>
      <c r="B16" s="145">
        <v>0</v>
      </c>
      <c r="C16" s="145">
        <v>0</v>
      </c>
      <c r="D16" s="145">
        <v>0</v>
      </c>
      <c r="E16" s="145">
        <v>0</v>
      </c>
      <c r="F16" s="145">
        <v>0</v>
      </c>
      <c r="G16" s="145">
        <v>0</v>
      </c>
    </row>
    <row r="17" spans="1:7" x14ac:dyDescent="0.25">
      <c r="A17" s="53" t="s">
        <v>462</v>
      </c>
      <c r="B17" s="145">
        <v>0</v>
      </c>
      <c r="C17" s="145">
        <v>0</v>
      </c>
      <c r="D17" s="145">
        <v>0</v>
      </c>
      <c r="E17" s="145">
        <v>0</v>
      </c>
      <c r="F17" s="145">
        <v>0</v>
      </c>
      <c r="G17" s="145">
        <v>0</v>
      </c>
    </row>
    <row r="18" spans="1:7" ht="14.25" x14ac:dyDescent="0.45">
      <c r="A18" s="86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2076126343.7548499</v>
      </c>
      <c r="C19" s="61">
        <f t="shared" ref="C19:G19" si="1">SUM(C20:C28)</f>
        <v>2148790765.7862697</v>
      </c>
      <c r="D19" s="61">
        <f t="shared" si="1"/>
        <v>2223998442.5887885</v>
      </c>
      <c r="E19" s="61">
        <f t="shared" si="1"/>
        <v>2301838388.0793962</v>
      </c>
      <c r="F19" s="61">
        <f t="shared" si="1"/>
        <v>2382402731.6621752</v>
      </c>
      <c r="G19" s="61">
        <f t="shared" si="1"/>
        <v>2382402731.6621752</v>
      </c>
    </row>
    <row r="20" spans="1:7" x14ac:dyDescent="0.25">
      <c r="A20" s="53" t="s">
        <v>454</v>
      </c>
      <c r="B20" s="145">
        <v>1850219116.68645</v>
      </c>
      <c r="C20" s="145">
        <v>1914976785.7704756</v>
      </c>
      <c r="D20" s="145">
        <v>1982000973.2724421</v>
      </c>
      <c r="E20" s="145">
        <v>2051371007.3369775</v>
      </c>
      <c r="F20" s="145">
        <v>2123168992.5937715</v>
      </c>
      <c r="G20" s="145">
        <v>2123168992.5937715</v>
      </c>
    </row>
    <row r="21" spans="1:7" x14ac:dyDescent="0.25">
      <c r="A21" s="53" t="s">
        <v>455</v>
      </c>
      <c r="B21" s="145">
        <v>63165781.386449993</v>
      </c>
      <c r="C21" s="145">
        <v>65376583.73497574</v>
      </c>
      <c r="D21" s="145">
        <v>67664764.165699884</v>
      </c>
      <c r="E21" s="145">
        <v>70033030.911499381</v>
      </c>
      <c r="F21" s="145">
        <v>72484186.993401855</v>
      </c>
      <c r="G21" s="145">
        <v>72484186.993401855</v>
      </c>
    </row>
    <row r="22" spans="1:7" x14ac:dyDescent="0.25">
      <c r="A22" s="53" t="s">
        <v>456</v>
      </c>
      <c r="B22" s="145">
        <v>80478009.108899996</v>
      </c>
      <c r="C22" s="145">
        <v>83294739.427711487</v>
      </c>
      <c r="D22" s="145">
        <v>86210055.307681382</v>
      </c>
      <c r="E22" s="145">
        <v>89227407.243450224</v>
      </c>
      <c r="F22" s="145">
        <v>92350366.496970981</v>
      </c>
      <c r="G22" s="145">
        <v>92350366.496970981</v>
      </c>
    </row>
    <row r="23" spans="1:7" x14ac:dyDescent="0.25">
      <c r="A23" s="53" t="s">
        <v>457</v>
      </c>
      <c r="B23" s="145">
        <v>13853026.534499997</v>
      </c>
      <c r="C23" s="145">
        <v>14337882.463207496</v>
      </c>
      <c r="D23" s="145">
        <v>14839708.349419758</v>
      </c>
      <c r="E23" s="145">
        <v>15359098.141649447</v>
      </c>
      <c r="F23" s="145">
        <v>15896666.576607177</v>
      </c>
      <c r="G23" s="145">
        <v>15896666.576607177</v>
      </c>
    </row>
    <row r="24" spans="1:7" x14ac:dyDescent="0.25">
      <c r="A24" s="53" t="s">
        <v>458</v>
      </c>
      <c r="B24" s="145">
        <v>43914476.402999997</v>
      </c>
      <c r="C24" s="145">
        <v>45451483.077104993</v>
      </c>
      <c r="D24" s="145">
        <v>47042284.984803662</v>
      </c>
      <c r="E24" s="145">
        <v>48688764.959271789</v>
      </c>
      <c r="F24" s="145">
        <v>50392871.732846297</v>
      </c>
      <c r="G24" s="145">
        <v>50392871.732846297</v>
      </c>
    </row>
    <row r="25" spans="1:7" x14ac:dyDescent="0.25">
      <c r="A25" s="53" t="s">
        <v>459</v>
      </c>
      <c r="B25" s="145">
        <v>24495933.63555</v>
      </c>
      <c r="C25" s="145">
        <v>25353291.31279425</v>
      </c>
      <c r="D25" s="145">
        <v>26240656.508742046</v>
      </c>
      <c r="E25" s="145">
        <v>27159079.486548014</v>
      </c>
      <c r="F25" s="145">
        <v>28109647.268577192</v>
      </c>
      <c r="G25" s="145">
        <v>28109647.268577192</v>
      </c>
    </row>
    <row r="26" spans="1:7" x14ac:dyDescent="0.25">
      <c r="A26" s="53" t="s">
        <v>460</v>
      </c>
      <c r="B26" s="145">
        <v>0</v>
      </c>
      <c r="C26" s="145">
        <v>0</v>
      </c>
      <c r="D26" s="145">
        <v>0</v>
      </c>
      <c r="E26" s="145">
        <v>0</v>
      </c>
      <c r="F26" s="145">
        <v>0</v>
      </c>
      <c r="G26" s="145">
        <v>0</v>
      </c>
    </row>
    <row r="27" spans="1:7" x14ac:dyDescent="0.25">
      <c r="A27" s="53" t="s">
        <v>464</v>
      </c>
      <c r="B27" s="145">
        <v>0</v>
      </c>
      <c r="C27" s="145">
        <v>0</v>
      </c>
      <c r="D27" s="145">
        <v>0</v>
      </c>
      <c r="E27" s="145">
        <v>0</v>
      </c>
      <c r="F27" s="145">
        <v>0</v>
      </c>
      <c r="G27" s="145">
        <v>0</v>
      </c>
    </row>
    <row r="28" spans="1:7" x14ac:dyDescent="0.25">
      <c r="A28" s="53" t="s">
        <v>462</v>
      </c>
      <c r="B28" s="145">
        <v>0</v>
      </c>
      <c r="C28" s="145">
        <v>0</v>
      </c>
      <c r="D28" s="145">
        <v>0</v>
      </c>
      <c r="E28" s="145">
        <v>0</v>
      </c>
      <c r="F28" s="145">
        <v>0</v>
      </c>
      <c r="G28" s="145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4147365070.3396502</v>
      </c>
      <c r="C30" s="61">
        <f t="shared" ref="C30:G30" si="2">C8+C19</f>
        <v>4292522847.8015375</v>
      </c>
      <c r="D30" s="61">
        <f t="shared" si="2"/>
        <v>4442761147.4745903</v>
      </c>
      <c r="E30" s="61">
        <f t="shared" si="2"/>
        <v>4598257787.6362019</v>
      </c>
      <c r="F30" s="61">
        <f t="shared" si="2"/>
        <v>4759196810.2034683</v>
      </c>
      <c r="G30" s="61">
        <f t="shared" si="2"/>
        <v>4759196810.2034683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700-000000000000}"/>
    <dataValidation allowBlank="1" showInputMessage="1" showErrorMessage="1" prompt="Año 2 (d)" sqref="D6:D7" xr:uid="{00000000-0002-0000-1700-000001000000}"/>
    <dataValidation allowBlank="1" showInputMessage="1" showErrorMessage="1" prompt="Año 3 (d)" sqref="E6:E7" xr:uid="{00000000-0002-0000-1700-000002000000}"/>
    <dataValidation allowBlank="1" showInputMessage="1" showErrorMessage="1" prompt="Año 4 (d)" sqref="F6:F7" xr:uid="{00000000-0002-0000-1700-000003000000}"/>
    <dataValidation allowBlank="1" showInputMessage="1" showErrorMessage="1" prompt="Año 5 (d)" sqref="G6:G7" xr:uid="{00000000-0002-0000-1700-000004000000}"/>
    <dataValidation type="decimal" allowBlank="1" showInputMessage="1" showErrorMessage="1" sqref="B8:G30" xr:uid="{00000000-0002-0000-17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700-000006000000}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2071238726.5848</v>
      </c>
      <c r="Q2" s="18">
        <f>'Formato 7 b)'!C8</f>
        <v>2143732082.0152678</v>
      </c>
      <c r="R2" s="18">
        <f>'Formato 7 b)'!D8</f>
        <v>2218762704.8858023</v>
      </c>
      <c r="S2" s="18">
        <f>'Formato 7 b)'!E8</f>
        <v>2296419399.5568051</v>
      </c>
      <c r="T2" s="18">
        <f>'Formato 7 b)'!F8</f>
        <v>2376794078.5412927</v>
      </c>
      <c r="U2" s="18">
        <f>'Formato 7 b)'!G8</f>
        <v>2376794078.5412927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1122022654.0028999</v>
      </c>
      <c r="Q3" s="18">
        <f>'Formato 7 b)'!C9</f>
        <v>1161293446.8930013</v>
      </c>
      <c r="R3" s="18">
        <f>'Formato 7 b)'!D9</f>
        <v>1201938717.5342562</v>
      </c>
      <c r="S3" s="18">
        <f>'Formato 7 b)'!E9</f>
        <v>1244006572.6479552</v>
      </c>
      <c r="T3" s="18">
        <f>'Formato 7 b)'!F9</f>
        <v>1287546802.6906335</v>
      </c>
      <c r="U3" s="18">
        <f>'Formato 7 b)'!G9</f>
        <v>1287546802.6906335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65629330.914600022</v>
      </c>
      <c r="Q4" s="18">
        <f>'Formato 7 b)'!C10</f>
        <v>67926357.496611014</v>
      </c>
      <c r="R4" s="18">
        <f>'Formato 7 b)'!D10</f>
        <v>70303780.008992389</v>
      </c>
      <c r="S4" s="18">
        <f>'Formato 7 b)'!E10</f>
        <v>72764412.309307113</v>
      </c>
      <c r="T4" s="18">
        <f>'Formato 7 b)'!F10</f>
        <v>75311166.740132853</v>
      </c>
      <c r="U4" s="18">
        <f>'Formato 7 b)'!G10</f>
        <v>75311166.740132853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312770491.83719993</v>
      </c>
      <c r="Q5" s="18">
        <f>'Formato 7 b)'!C11</f>
        <v>323717459.05150187</v>
      </c>
      <c r="R5" s="18">
        <f>'Formato 7 b)'!D11</f>
        <v>335047570.11830443</v>
      </c>
      <c r="S5" s="18">
        <f>'Formato 7 b)'!E11</f>
        <v>346774235.07244503</v>
      </c>
      <c r="T5" s="18">
        <f>'Formato 7 b)'!F11</f>
        <v>358911333.29998058</v>
      </c>
      <c r="U5" s="18">
        <f>'Formato 7 b)'!G11</f>
        <v>358911333.29998058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107699736.91905001</v>
      </c>
      <c r="Q6" s="18">
        <f>'Formato 7 b)'!C12</f>
        <v>111469227.71121675</v>
      </c>
      <c r="R6" s="18">
        <f>'Formato 7 b)'!D12</f>
        <v>115370650.68110932</v>
      </c>
      <c r="S6" s="18">
        <f>'Formato 7 b)'!E12</f>
        <v>119408623.45494814</v>
      </c>
      <c r="T6" s="18">
        <f>'Formato 7 b)'!F12</f>
        <v>123587925.27587132</v>
      </c>
      <c r="U6" s="18">
        <f>'Formato 7 b)'!G12</f>
        <v>123587925.27587132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221186505.13874996</v>
      </c>
      <c r="Q7" s="18">
        <f>'Formato 7 b)'!C13</f>
        <v>228928032.8186062</v>
      </c>
      <c r="R7" s="18">
        <f>'Formato 7 b)'!D13</f>
        <v>236940513.96725741</v>
      </c>
      <c r="S7" s="18">
        <f>'Formato 7 b)'!E13</f>
        <v>245233431.9561114</v>
      </c>
      <c r="T7" s="18">
        <f>'Formato 7 b)'!F13</f>
        <v>253816602.07457528</v>
      </c>
      <c r="U7" s="18">
        <f>'Formato 7 b)'!G13</f>
        <v>253816602.07457528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241930007.7723</v>
      </c>
      <c r="Q8" s="18">
        <f>'Formato 7 b)'!C14</f>
        <v>250397558.04433048</v>
      </c>
      <c r="R8" s="18">
        <f>'Formato 7 b)'!D14</f>
        <v>259161472.57588202</v>
      </c>
      <c r="S8" s="18">
        <f>'Formato 7 b)'!E14</f>
        <v>268232124.11603788</v>
      </c>
      <c r="T8" s="18">
        <f>'Formato 7 b)'!F14</f>
        <v>277620248.46009916</v>
      </c>
      <c r="U8" s="18">
        <f>'Formato 7 b)'!G14</f>
        <v>277620248.46009916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2076126343.7548499</v>
      </c>
      <c r="Q12" s="18">
        <f>'Formato 7 b)'!C19</f>
        <v>2148790765.7862697</v>
      </c>
      <c r="R12" s="18">
        <f>'Formato 7 b)'!D19</f>
        <v>2223998442.5887885</v>
      </c>
      <c r="S12" s="18">
        <f>'Formato 7 b)'!E19</f>
        <v>2301838388.0793962</v>
      </c>
      <c r="T12" s="18">
        <f>'Formato 7 b)'!F19</f>
        <v>2382402731.6621752</v>
      </c>
      <c r="U12" s="18">
        <f>'Formato 7 b)'!G19</f>
        <v>2382402731.6621752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1850219116.68645</v>
      </c>
      <c r="Q13" s="18">
        <f>'Formato 7 b)'!C20</f>
        <v>1914976785.7704756</v>
      </c>
      <c r="R13" s="18">
        <f>'Formato 7 b)'!D20</f>
        <v>1982000973.2724421</v>
      </c>
      <c r="S13" s="18">
        <f>'Formato 7 b)'!E20</f>
        <v>2051371007.3369775</v>
      </c>
      <c r="T13" s="18">
        <f>'Formato 7 b)'!F20</f>
        <v>2123168992.5937715</v>
      </c>
      <c r="U13" s="18">
        <f>'Formato 7 b)'!G20</f>
        <v>2123168992.5937715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63165781.386449993</v>
      </c>
      <c r="Q14" s="18">
        <f>'Formato 7 b)'!C21</f>
        <v>65376583.73497574</v>
      </c>
      <c r="R14" s="18">
        <f>'Formato 7 b)'!D21</f>
        <v>67664764.165699884</v>
      </c>
      <c r="S14" s="18">
        <f>'Formato 7 b)'!E21</f>
        <v>70033030.911499381</v>
      </c>
      <c r="T14" s="18">
        <f>'Formato 7 b)'!F21</f>
        <v>72484186.993401855</v>
      </c>
      <c r="U14" s="18">
        <f>'Formato 7 b)'!G21</f>
        <v>72484186.993401855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80478009.108899996</v>
      </c>
      <c r="Q15" s="18">
        <f>'Formato 7 b)'!C22</f>
        <v>83294739.427711487</v>
      </c>
      <c r="R15" s="18">
        <f>'Formato 7 b)'!D22</f>
        <v>86210055.307681382</v>
      </c>
      <c r="S15" s="18">
        <f>'Formato 7 b)'!E22</f>
        <v>89227407.243450224</v>
      </c>
      <c r="T15" s="18">
        <f>'Formato 7 b)'!F22</f>
        <v>92350366.496970981</v>
      </c>
      <c r="U15" s="18">
        <f>'Formato 7 b)'!G22</f>
        <v>92350366.496970981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13853026.534499997</v>
      </c>
      <c r="Q16" s="18">
        <f>'Formato 7 b)'!C23</f>
        <v>14337882.463207496</v>
      </c>
      <c r="R16" s="18">
        <f>'Formato 7 b)'!D23</f>
        <v>14839708.349419758</v>
      </c>
      <c r="S16" s="18">
        <f>'Formato 7 b)'!E23</f>
        <v>15359098.141649447</v>
      </c>
      <c r="T16" s="18">
        <f>'Formato 7 b)'!F23</f>
        <v>15896666.576607177</v>
      </c>
      <c r="U16" s="18">
        <f>'Formato 7 b)'!G23</f>
        <v>15896666.576607177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43914476.402999997</v>
      </c>
      <c r="Q17" s="18">
        <f>'Formato 7 b)'!C24</f>
        <v>45451483.077104993</v>
      </c>
      <c r="R17" s="18">
        <f>'Formato 7 b)'!D24</f>
        <v>47042284.984803662</v>
      </c>
      <c r="S17" s="18">
        <f>'Formato 7 b)'!E24</f>
        <v>48688764.959271789</v>
      </c>
      <c r="T17" s="18">
        <f>'Formato 7 b)'!F24</f>
        <v>50392871.732846297</v>
      </c>
      <c r="U17" s="18">
        <f>'Formato 7 b)'!G24</f>
        <v>50392871.732846297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24495933.63555</v>
      </c>
      <c r="Q18" s="18">
        <f>'Formato 7 b)'!C25</f>
        <v>25353291.31279425</v>
      </c>
      <c r="R18" s="18">
        <f>'Formato 7 b)'!D25</f>
        <v>26240656.508742046</v>
      </c>
      <c r="S18" s="18">
        <f>'Formato 7 b)'!E25</f>
        <v>27159079.486548014</v>
      </c>
      <c r="T18" s="18">
        <f>'Formato 7 b)'!F25</f>
        <v>28109647.268577192</v>
      </c>
      <c r="U18" s="18">
        <f>'Formato 7 b)'!G25</f>
        <v>28109647.268577192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4147365070.3396502</v>
      </c>
      <c r="Q22" s="18">
        <f>'Formato 7 b)'!C30</f>
        <v>4292522847.8015375</v>
      </c>
      <c r="R22" s="18">
        <f>'Formato 7 b)'!D30</f>
        <v>4442761147.4745903</v>
      </c>
      <c r="S22" s="18">
        <f>'Formato 7 b)'!E30</f>
        <v>4598257787.6362019</v>
      </c>
      <c r="T22" s="18">
        <f>'Formato 7 b)'!F30</f>
        <v>4759196810.2034683</v>
      </c>
      <c r="U22" s="18">
        <f>'Formato 7 b)'!G30</f>
        <v>4759196810.2034683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2"/>
  <dimension ref="A1:G47"/>
  <sheetViews>
    <sheetView showGridLines="0" topLeftCell="A2" zoomScale="90" zoomScaleNormal="90" workbookViewId="0">
      <selection activeCell="A14" sqref="A14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88" customFormat="1" ht="37.5" customHeight="1" x14ac:dyDescent="0.45">
      <c r="A1" s="173" t="s">
        <v>466</v>
      </c>
      <c r="B1" s="173"/>
      <c r="C1" s="173"/>
      <c r="D1" s="173"/>
      <c r="E1" s="173"/>
      <c r="F1" s="173"/>
      <c r="G1" s="173"/>
    </row>
    <row r="2" spans="1:7" ht="14.25" x14ac:dyDescent="0.45">
      <c r="A2" s="155" t="str">
        <f>ENTIDAD</f>
        <v>Municipio de Guanajuato, Gobierno del Estado de Guanajuato</v>
      </c>
      <c r="B2" s="156"/>
      <c r="C2" s="156"/>
      <c r="D2" s="156"/>
      <c r="E2" s="156"/>
      <c r="F2" s="156"/>
      <c r="G2" s="157"/>
    </row>
    <row r="3" spans="1:7" ht="14.25" x14ac:dyDescent="0.45">
      <c r="A3" s="158" t="s">
        <v>467</v>
      </c>
      <c r="B3" s="159"/>
      <c r="C3" s="159"/>
      <c r="D3" s="159"/>
      <c r="E3" s="159"/>
      <c r="F3" s="159"/>
      <c r="G3" s="160"/>
    </row>
    <row r="4" spans="1:7" ht="14.25" x14ac:dyDescent="0.45">
      <c r="A4" s="164" t="s">
        <v>118</v>
      </c>
      <c r="B4" s="165"/>
      <c r="C4" s="165"/>
      <c r="D4" s="165"/>
      <c r="E4" s="165"/>
      <c r="F4" s="165"/>
      <c r="G4" s="166"/>
    </row>
    <row r="5" spans="1:7" x14ac:dyDescent="0.25">
      <c r="A5" s="190" t="s">
        <v>3288</v>
      </c>
      <c r="B5" s="188" t="str">
        <f>ANIO5R</f>
        <v>2015 ¹ (c)</v>
      </c>
      <c r="C5" s="188" t="str">
        <f>ANIO4R</f>
        <v>2016 ¹ (c)</v>
      </c>
      <c r="D5" s="188" t="str">
        <f>ANIO3R</f>
        <v>2017 ¹ (c)</v>
      </c>
      <c r="E5" s="188" t="str">
        <f>ANIO2R</f>
        <v>2018 ¹ (c)</v>
      </c>
      <c r="F5" s="188" t="str">
        <f>ANIO1R</f>
        <v>2019 ¹ (c)</v>
      </c>
      <c r="G5" s="51">
        <f>ANIO_INFORME</f>
        <v>2020</v>
      </c>
    </row>
    <row r="6" spans="1:7" ht="32.1" customHeight="1" x14ac:dyDescent="0.25">
      <c r="A6" s="191"/>
      <c r="B6" s="189"/>
      <c r="C6" s="189"/>
      <c r="D6" s="189"/>
      <c r="E6" s="189"/>
      <c r="F6" s="189"/>
      <c r="G6" s="85" t="s">
        <v>3294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x14ac:dyDescent="0.2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ht="30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x14ac:dyDescent="0.2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87"/>
    </row>
    <row r="39" spans="1:7" ht="15" customHeight="1" x14ac:dyDescent="0.25">
      <c r="A39" s="187" t="s">
        <v>3292</v>
      </c>
      <c r="B39" s="187"/>
      <c r="C39" s="187"/>
      <c r="D39" s="187"/>
      <c r="E39" s="187"/>
      <c r="F39" s="187"/>
      <c r="G39" s="187"/>
    </row>
    <row r="40" spans="1:7" ht="15" customHeight="1" x14ac:dyDescent="0.25">
      <c r="A40" s="187" t="s">
        <v>3293</v>
      </c>
      <c r="B40" s="187"/>
      <c r="C40" s="187"/>
      <c r="D40" s="187"/>
      <c r="E40" s="187"/>
      <c r="F40" s="187"/>
      <c r="G40" s="187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 xr:uid="{00000000-0002-0000-1900-000000000000}"/>
    <dataValidation allowBlank="1" showInputMessage="1" showErrorMessage="1" prompt="Año 2 (c)" sqref="E5:E6" xr:uid="{00000000-0002-0000-1900-000001000000}"/>
    <dataValidation allowBlank="1" showInputMessage="1" showErrorMessage="1" prompt="Año 3 (c)" sqref="D5:D6" xr:uid="{00000000-0002-0000-1900-000002000000}"/>
    <dataValidation allowBlank="1" showInputMessage="1" showErrorMessage="1" prompt="Año 4 (c)" sqref="C5:C6" xr:uid="{00000000-0002-0000-1900-000003000000}"/>
    <dataValidation allowBlank="1" showInputMessage="1" showErrorMessage="1" prompt="Año 5 (c)" sqref="B5:B6" xr:uid="{00000000-0002-0000-1900-000004000000}"/>
    <dataValidation type="decimal" allowBlank="1" showInputMessage="1" showErrorMessage="1" sqref="B7:G36" xr:uid="{00000000-0002-0000-1900-000005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900-000006000000}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3"/>
  <dimension ref="A1:G33"/>
  <sheetViews>
    <sheetView showGridLines="0" topLeftCell="A10" zoomScale="90" zoomScaleNormal="90" workbookViewId="0">
      <selection activeCell="B29" sqref="B29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88" customFormat="1" ht="37.5" customHeight="1" x14ac:dyDescent="0.45">
      <c r="A1" s="173" t="s">
        <v>490</v>
      </c>
      <c r="B1" s="173"/>
      <c r="C1" s="173"/>
      <c r="D1" s="173"/>
      <c r="E1" s="173"/>
      <c r="F1" s="173"/>
      <c r="G1" s="173"/>
    </row>
    <row r="2" spans="1:7" ht="14.25" x14ac:dyDescent="0.45">
      <c r="A2" s="155" t="str">
        <f>ENTIDAD</f>
        <v>Municipio de Guanajuato, Gobierno del Estado de Guanajuato</v>
      </c>
      <c r="B2" s="156"/>
      <c r="C2" s="156"/>
      <c r="D2" s="156"/>
      <c r="E2" s="156"/>
      <c r="F2" s="156"/>
      <c r="G2" s="157"/>
    </row>
    <row r="3" spans="1:7" ht="14.25" x14ac:dyDescent="0.45">
      <c r="A3" s="158" t="s">
        <v>491</v>
      </c>
      <c r="B3" s="159"/>
      <c r="C3" s="159"/>
      <c r="D3" s="159"/>
      <c r="E3" s="159"/>
      <c r="F3" s="159"/>
      <c r="G3" s="160"/>
    </row>
    <row r="4" spans="1:7" ht="14.25" x14ac:dyDescent="0.45">
      <c r="A4" s="164" t="s">
        <v>118</v>
      </c>
      <c r="B4" s="165"/>
      <c r="C4" s="165"/>
      <c r="D4" s="165"/>
      <c r="E4" s="165"/>
      <c r="F4" s="165"/>
      <c r="G4" s="166"/>
    </row>
    <row r="5" spans="1:7" x14ac:dyDescent="0.25">
      <c r="A5" s="192" t="s">
        <v>3142</v>
      </c>
      <c r="B5" s="188" t="str">
        <f>ANIO5R</f>
        <v>2015 ¹ (c)</v>
      </c>
      <c r="C5" s="188" t="str">
        <f>ANIO4R</f>
        <v>2016 ¹ (c)</v>
      </c>
      <c r="D5" s="188" t="str">
        <f>ANIO3R</f>
        <v>2017 ¹ (c)</v>
      </c>
      <c r="E5" s="188" t="str">
        <f>ANIO2R</f>
        <v>2018 ¹ (c)</v>
      </c>
      <c r="F5" s="188" t="str">
        <f>ANIO1R</f>
        <v>2019 ¹ (c)</v>
      </c>
      <c r="G5" s="51">
        <f>ANIO_INFORME</f>
        <v>2020</v>
      </c>
    </row>
    <row r="6" spans="1:7" ht="32.1" customHeight="1" x14ac:dyDescent="0.25">
      <c r="A6" s="193"/>
      <c r="B6" s="189"/>
      <c r="C6" s="189"/>
      <c r="D6" s="189"/>
      <c r="E6" s="189"/>
      <c r="F6" s="189"/>
      <c r="G6" s="85" t="s">
        <v>3295</v>
      </c>
    </row>
    <row r="7" spans="1:7" ht="14.25" x14ac:dyDescent="0.45">
      <c r="A7" s="52" t="s">
        <v>492</v>
      </c>
      <c r="B7" s="59">
        <f>SUM(B8:B16)</f>
        <v>1028908852.1471654</v>
      </c>
      <c r="C7" s="59">
        <f t="shared" ref="C7:G7" si="0">SUM(C8:C16)</f>
        <v>662033702.4987998</v>
      </c>
      <c r="D7" s="59">
        <f t="shared" si="0"/>
        <v>1308021982.1300001</v>
      </c>
      <c r="E7" s="59">
        <f t="shared" si="0"/>
        <v>1507119606.3499997</v>
      </c>
      <c r="F7" s="59">
        <f t="shared" si="0"/>
        <v>1548721634.1799989</v>
      </c>
      <c r="G7" s="59">
        <f t="shared" si="0"/>
        <v>607207051.64999962</v>
      </c>
    </row>
    <row r="8" spans="1:7" x14ac:dyDescent="0.25">
      <c r="A8" s="53" t="s">
        <v>454</v>
      </c>
      <c r="B8" s="145">
        <v>698717640.04030406</v>
      </c>
      <c r="C8" s="145">
        <v>131374008.33879973</v>
      </c>
      <c r="D8" s="145">
        <v>727345184.53000009</v>
      </c>
      <c r="E8" s="145">
        <v>822822833.81999946</v>
      </c>
      <c r="F8" s="145">
        <v>949506847.02999926</v>
      </c>
      <c r="G8" s="145">
        <v>469750680.94999969</v>
      </c>
    </row>
    <row r="9" spans="1:7" x14ac:dyDescent="0.25">
      <c r="A9" s="53" t="s">
        <v>455</v>
      </c>
      <c r="B9" s="145">
        <v>37656024.182449989</v>
      </c>
      <c r="C9" s="145">
        <v>23542956.199999999</v>
      </c>
      <c r="D9" s="145">
        <v>53744761.110000007</v>
      </c>
      <c r="E9" s="145">
        <v>70775291.430000097</v>
      </c>
      <c r="F9" s="145">
        <v>63764415.470000073</v>
      </c>
      <c r="G9" s="145">
        <v>14505188.540000012</v>
      </c>
    </row>
    <row r="10" spans="1:7" x14ac:dyDescent="0.25">
      <c r="A10" s="53" t="s">
        <v>456</v>
      </c>
      <c r="B10" s="145">
        <v>121371314.8465915</v>
      </c>
      <c r="C10" s="145">
        <v>94942261.379999995</v>
      </c>
      <c r="D10" s="145">
        <v>215536069.94000003</v>
      </c>
      <c r="E10" s="145">
        <v>281159304.73000008</v>
      </c>
      <c r="F10" s="145">
        <v>291062466.48999971</v>
      </c>
      <c r="G10" s="145">
        <v>61013623.479999937</v>
      </c>
    </row>
    <row r="11" spans="1:7" x14ac:dyDescent="0.25">
      <c r="A11" s="53" t="s">
        <v>457</v>
      </c>
      <c r="B11" s="145">
        <v>161340381.27706003</v>
      </c>
      <c r="C11" s="145">
        <v>59393110.289999999</v>
      </c>
      <c r="D11" s="145">
        <v>149220342.77999997</v>
      </c>
      <c r="E11" s="145">
        <v>128846208.31000006</v>
      </c>
      <c r="F11" s="145">
        <v>96157858.830000028</v>
      </c>
      <c r="G11" s="145">
        <v>33304203.920000002</v>
      </c>
    </row>
    <row r="12" spans="1:7" x14ac:dyDescent="0.25">
      <c r="A12" s="53" t="s">
        <v>458</v>
      </c>
      <c r="B12" s="145">
        <v>8291117.3907600008</v>
      </c>
      <c r="C12" s="145">
        <v>151156505.88999999</v>
      </c>
      <c r="D12" s="145">
        <v>50107821.29999999</v>
      </c>
      <c r="E12" s="145">
        <v>124609037.61000006</v>
      </c>
      <c r="F12" s="145">
        <v>81738164.699999914</v>
      </c>
      <c r="G12" s="145">
        <v>14487375.05000001</v>
      </c>
    </row>
    <row r="13" spans="1:7" x14ac:dyDescent="0.25">
      <c r="A13" s="53" t="s">
        <v>459</v>
      </c>
      <c r="B13" s="145">
        <v>1532374.4100000001</v>
      </c>
      <c r="C13" s="145">
        <v>201393184.02000007</v>
      </c>
      <c r="D13" s="145">
        <v>112067802.47000001</v>
      </c>
      <c r="E13" s="145">
        <v>78906930.450000003</v>
      </c>
      <c r="F13" s="145">
        <v>59991881.659999989</v>
      </c>
      <c r="G13" s="145">
        <v>14145979.709999999</v>
      </c>
    </row>
    <row r="14" spans="1:7" x14ac:dyDescent="0.25">
      <c r="A14" s="53" t="s">
        <v>460</v>
      </c>
      <c r="B14" s="145">
        <v>0</v>
      </c>
      <c r="C14" s="145">
        <v>231676.38</v>
      </c>
      <c r="D14" s="145">
        <v>0</v>
      </c>
      <c r="E14" s="145">
        <v>0</v>
      </c>
      <c r="F14" s="145">
        <v>6500000</v>
      </c>
      <c r="G14" s="145">
        <v>0</v>
      </c>
    </row>
    <row r="15" spans="1:7" x14ac:dyDescent="0.25">
      <c r="A15" s="53" t="s">
        <v>461</v>
      </c>
      <c r="B15" s="145">
        <v>0</v>
      </c>
      <c r="C15" s="145">
        <v>0</v>
      </c>
      <c r="D15" s="145">
        <v>0</v>
      </c>
      <c r="E15" s="145">
        <v>0</v>
      </c>
      <c r="F15" s="145">
        <v>0</v>
      </c>
      <c r="G15" s="145">
        <v>0</v>
      </c>
    </row>
    <row r="16" spans="1:7" x14ac:dyDescent="0.25">
      <c r="A16" s="53" t="s">
        <v>462</v>
      </c>
      <c r="B16" s="145">
        <v>0</v>
      </c>
      <c r="C16" s="145">
        <v>0</v>
      </c>
      <c r="D16" s="145">
        <v>0</v>
      </c>
      <c r="E16" s="145">
        <v>0</v>
      </c>
      <c r="F16" s="145">
        <v>0</v>
      </c>
      <c r="G16" s="145">
        <v>0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2015807402.9881349</v>
      </c>
      <c r="C18" s="61">
        <f t="shared" ref="C18:G18" si="1">SUM(C19:C27)</f>
        <v>2559333252.9422998</v>
      </c>
      <c r="D18" s="61">
        <f t="shared" si="1"/>
        <v>1914373628.95</v>
      </c>
      <c r="E18" s="61">
        <f t="shared" si="1"/>
        <v>2023475534.7299986</v>
      </c>
      <c r="F18" s="61">
        <f t="shared" si="1"/>
        <v>2049786632.1100001</v>
      </c>
      <c r="G18" s="61">
        <f t="shared" si="1"/>
        <v>855067805.31999862</v>
      </c>
    </row>
    <row r="19" spans="1:7" x14ac:dyDescent="0.25">
      <c r="A19" s="53" t="s">
        <v>454</v>
      </c>
      <c r="B19" s="145">
        <v>1109839134.5343962</v>
      </c>
      <c r="C19" s="145">
        <v>1855729649.0212002</v>
      </c>
      <c r="D19" s="145">
        <v>1334164885.49</v>
      </c>
      <c r="E19" s="145">
        <v>1413017104.6899986</v>
      </c>
      <c r="F19" s="145">
        <v>1777626279.0599999</v>
      </c>
      <c r="G19" s="145">
        <v>808101588.39999855</v>
      </c>
    </row>
    <row r="20" spans="1:7" x14ac:dyDescent="0.25">
      <c r="A20" s="53" t="s">
        <v>455</v>
      </c>
      <c r="B20" s="145">
        <v>61412298.987549976</v>
      </c>
      <c r="C20" s="145">
        <v>69853166.788599998</v>
      </c>
      <c r="D20" s="145">
        <v>51905322.640000001</v>
      </c>
      <c r="E20" s="145">
        <v>51170361.079999954</v>
      </c>
      <c r="F20" s="145">
        <v>63427987.380000003</v>
      </c>
      <c r="G20" s="145">
        <v>15733518.299999991</v>
      </c>
    </row>
    <row r="21" spans="1:7" x14ac:dyDescent="0.25">
      <c r="A21" s="53" t="s">
        <v>456</v>
      </c>
      <c r="B21" s="145">
        <v>246318170.72400865</v>
      </c>
      <c r="C21" s="145">
        <v>243460785.87729996</v>
      </c>
      <c r="D21" s="145">
        <v>111459996.03999998</v>
      </c>
      <c r="E21" s="145">
        <v>69315904.649999931</v>
      </c>
      <c r="F21" s="145">
        <v>80685847.199999988</v>
      </c>
      <c r="G21" s="145">
        <v>19908170.690000016</v>
      </c>
    </row>
    <row r="22" spans="1:7" x14ac:dyDescent="0.25">
      <c r="A22" s="53" t="s">
        <v>457</v>
      </c>
      <c r="B22" s="145">
        <v>185466753.13293999</v>
      </c>
      <c r="C22" s="145">
        <v>302313020.51999998</v>
      </c>
      <c r="D22" s="145">
        <v>260444835.19000003</v>
      </c>
      <c r="E22" s="145">
        <v>343452777.21000004</v>
      </c>
      <c r="F22" s="145">
        <v>9900722.6199999992</v>
      </c>
      <c r="G22" s="145">
        <v>2944673.59</v>
      </c>
    </row>
    <row r="23" spans="1:7" x14ac:dyDescent="0.25">
      <c r="A23" s="53" t="s">
        <v>458</v>
      </c>
      <c r="B23" s="145">
        <v>260016724.88924003</v>
      </c>
      <c r="C23" s="145">
        <v>52041887.445199996</v>
      </c>
      <c r="D23" s="145">
        <v>61573395.25</v>
      </c>
      <c r="E23" s="145">
        <v>35479575.700000003</v>
      </c>
      <c r="F23" s="145">
        <v>28907668.909999974</v>
      </c>
      <c r="G23" s="145">
        <v>3665709.19</v>
      </c>
    </row>
    <row r="24" spans="1:7" x14ac:dyDescent="0.25">
      <c r="A24" s="53" t="s">
        <v>459</v>
      </c>
      <c r="B24" s="145">
        <v>152754320.72000003</v>
      </c>
      <c r="C24" s="145">
        <v>35934743.289999999</v>
      </c>
      <c r="D24" s="145">
        <v>94825194.339999989</v>
      </c>
      <c r="E24" s="145">
        <v>111039811.39999999</v>
      </c>
      <c r="F24" s="145">
        <v>89238126.939999998</v>
      </c>
      <c r="G24" s="145">
        <v>4714145.1500000004</v>
      </c>
    </row>
    <row r="25" spans="1:7" x14ac:dyDescent="0.25">
      <c r="A25" s="53" t="s">
        <v>460</v>
      </c>
      <c r="B25" s="145">
        <v>0</v>
      </c>
      <c r="C25" s="145">
        <v>0</v>
      </c>
      <c r="D25" s="145">
        <v>0</v>
      </c>
      <c r="E25" s="145">
        <v>0</v>
      </c>
      <c r="F25" s="145">
        <v>0</v>
      </c>
      <c r="G25" s="145">
        <v>0</v>
      </c>
    </row>
    <row r="26" spans="1:7" x14ac:dyDescent="0.25">
      <c r="A26" s="53" t="s">
        <v>464</v>
      </c>
      <c r="B26" s="145">
        <v>0</v>
      </c>
      <c r="C26" s="145">
        <v>0</v>
      </c>
      <c r="D26" s="145">
        <v>0</v>
      </c>
      <c r="E26" s="145">
        <v>0</v>
      </c>
      <c r="F26" s="145">
        <v>0</v>
      </c>
      <c r="G26" s="145">
        <v>0</v>
      </c>
    </row>
    <row r="27" spans="1:7" x14ac:dyDescent="0.25">
      <c r="A27" s="53" t="s">
        <v>462</v>
      </c>
      <c r="B27" s="145">
        <v>0</v>
      </c>
      <c r="C27" s="145">
        <v>0</v>
      </c>
      <c r="D27" s="145">
        <v>0</v>
      </c>
      <c r="E27" s="145">
        <v>0</v>
      </c>
      <c r="F27" s="145">
        <v>0</v>
      </c>
      <c r="G27" s="145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3044716255.1353002</v>
      </c>
      <c r="C29" s="60">
        <f t="shared" ref="C29:G29" si="2">C7+C18</f>
        <v>3221366955.4410996</v>
      </c>
      <c r="D29" s="60">
        <f t="shared" si="2"/>
        <v>3222395611.0799999</v>
      </c>
      <c r="E29" s="60">
        <f t="shared" si="2"/>
        <v>3530595141.079998</v>
      </c>
      <c r="F29" s="60">
        <f t="shared" si="2"/>
        <v>3598508266.289999</v>
      </c>
      <c r="G29" s="60">
        <f t="shared" si="2"/>
        <v>1462274856.9699984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87"/>
    </row>
    <row r="32" spans="1:7" x14ac:dyDescent="0.25">
      <c r="A32" s="187" t="s">
        <v>3292</v>
      </c>
      <c r="B32" s="187"/>
      <c r="C32" s="187"/>
      <c r="D32" s="187"/>
      <c r="E32" s="187"/>
      <c r="F32" s="187"/>
      <c r="G32" s="187"/>
    </row>
    <row r="33" spans="1:7" x14ac:dyDescent="0.25">
      <c r="A33" s="187" t="s">
        <v>3293</v>
      </c>
      <c r="B33" s="187"/>
      <c r="C33" s="187"/>
      <c r="D33" s="187"/>
      <c r="E33" s="187"/>
      <c r="F33" s="187"/>
      <c r="G33" s="187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 xr:uid="{00000000-0002-0000-1B00-000000000000}"/>
    <dataValidation allowBlank="1" showInputMessage="1" showErrorMessage="1" prompt="Año 2 (c)" sqref="E5:E6" xr:uid="{00000000-0002-0000-1B00-000001000000}"/>
    <dataValidation allowBlank="1" showInputMessage="1" showErrorMessage="1" prompt="Año 3 (c)" sqref="D5:D6" xr:uid="{00000000-0002-0000-1B00-000002000000}"/>
    <dataValidation allowBlank="1" showInputMessage="1" showErrorMessage="1" prompt="Año 4 (c)" sqref="C5:C6" xr:uid="{00000000-0002-0000-1B00-000003000000}"/>
    <dataValidation allowBlank="1" showInputMessage="1" showErrorMessage="1" prompt="Año 5 (c)" sqref="B5:B6" xr:uid="{00000000-0002-0000-1B00-000004000000}"/>
    <dataValidation type="decimal" allowBlank="1" showInputMessage="1" showErrorMessage="1" sqref="B7:G29" xr:uid="{00000000-0002-0000-1B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B00-000006000000}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1028908852.1471654</v>
      </c>
      <c r="Q2" s="18">
        <f>'Formato 7 d)'!C7</f>
        <v>662033702.4987998</v>
      </c>
      <c r="R2" s="18">
        <f>'Formato 7 d)'!D7</f>
        <v>1308021982.1300001</v>
      </c>
      <c r="S2" s="18">
        <f>'Formato 7 d)'!E7</f>
        <v>1507119606.3499997</v>
      </c>
      <c r="T2" s="18">
        <f>'Formato 7 d)'!F7</f>
        <v>1548721634.1799989</v>
      </c>
      <c r="U2" s="18">
        <f>'Formato 7 d)'!G7</f>
        <v>607207051.64999962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698717640.04030406</v>
      </c>
      <c r="Q3" s="18">
        <f>'Formato 7 d)'!C8</f>
        <v>131374008.33879973</v>
      </c>
      <c r="R3" s="18">
        <f>'Formato 7 d)'!D8</f>
        <v>727345184.53000009</v>
      </c>
      <c r="S3" s="18">
        <f>'Formato 7 d)'!E8</f>
        <v>822822833.81999946</v>
      </c>
      <c r="T3" s="18">
        <f>'Formato 7 d)'!F8</f>
        <v>949506847.02999926</v>
      </c>
      <c r="U3" s="18">
        <f>'Formato 7 d)'!G8</f>
        <v>469750680.94999969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37656024.182449989</v>
      </c>
      <c r="Q4" s="18">
        <f>'Formato 7 d)'!C9</f>
        <v>23542956.199999999</v>
      </c>
      <c r="R4" s="18">
        <f>'Formato 7 d)'!D9</f>
        <v>53744761.110000007</v>
      </c>
      <c r="S4" s="18">
        <f>'Formato 7 d)'!E9</f>
        <v>70775291.430000097</v>
      </c>
      <c r="T4" s="18">
        <f>'Formato 7 d)'!F9</f>
        <v>63764415.470000073</v>
      </c>
      <c r="U4" s="18">
        <f>'Formato 7 d)'!G9</f>
        <v>14505188.540000012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121371314.8465915</v>
      </c>
      <c r="Q5" s="18">
        <f>'Formato 7 d)'!C10</f>
        <v>94942261.379999995</v>
      </c>
      <c r="R5" s="18">
        <f>'Formato 7 d)'!D10</f>
        <v>215536069.94000003</v>
      </c>
      <c r="S5" s="18">
        <f>'Formato 7 d)'!E10</f>
        <v>281159304.73000008</v>
      </c>
      <c r="T5" s="18">
        <f>'Formato 7 d)'!F10</f>
        <v>291062466.48999971</v>
      </c>
      <c r="U5" s="18">
        <f>'Formato 7 d)'!G10</f>
        <v>61013623.479999937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161340381.27706003</v>
      </c>
      <c r="Q6" s="18">
        <f>'Formato 7 d)'!C11</f>
        <v>59393110.289999999</v>
      </c>
      <c r="R6" s="18">
        <f>'Formato 7 d)'!D11</f>
        <v>149220342.77999997</v>
      </c>
      <c r="S6" s="18">
        <f>'Formato 7 d)'!E11</f>
        <v>128846208.31000006</v>
      </c>
      <c r="T6" s="18">
        <f>'Formato 7 d)'!F11</f>
        <v>96157858.830000028</v>
      </c>
      <c r="U6" s="18">
        <f>'Formato 7 d)'!G11</f>
        <v>33304203.920000002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8291117.3907600008</v>
      </c>
      <c r="Q7" s="18">
        <f>'Formato 7 d)'!C12</f>
        <v>151156505.88999999</v>
      </c>
      <c r="R7" s="18">
        <f>'Formato 7 d)'!D12</f>
        <v>50107821.29999999</v>
      </c>
      <c r="S7" s="18">
        <f>'Formato 7 d)'!E12</f>
        <v>124609037.61000006</v>
      </c>
      <c r="T7" s="18">
        <f>'Formato 7 d)'!F12</f>
        <v>81738164.699999914</v>
      </c>
      <c r="U7" s="18">
        <f>'Formato 7 d)'!G12</f>
        <v>14487375.05000001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1532374.4100000001</v>
      </c>
      <c r="Q8" s="18">
        <f>'Formato 7 d)'!C13</f>
        <v>201393184.02000007</v>
      </c>
      <c r="R8" s="18">
        <f>'Formato 7 d)'!D13</f>
        <v>112067802.47000001</v>
      </c>
      <c r="S8" s="18">
        <f>'Formato 7 d)'!E13</f>
        <v>78906930.450000003</v>
      </c>
      <c r="T8" s="18">
        <f>'Formato 7 d)'!F13</f>
        <v>59991881.659999989</v>
      </c>
      <c r="U8" s="18">
        <f>'Formato 7 d)'!G13</f>
        <v>14145979.709999999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</v>
      </c>
      <c r="Q9" s="18">
        <f>'Formato 7 d)'!C14</f>
        <v>231676.38</v>
      </c>
      <c r="R9" s="18">
        <f>'Formato 7 d)'!D14</f>
        <v>0</v>
      </c>
      <c r="S9" s="18">
        <f>'Formato 7 d)'!E14</f>
        <v>0</v>
      </c>
      <c r="T9" s="18">
        <f>'Formato 7 d)'!F14</f>
        <v>6500000</v>
      </c>
      <c r="U9" s="18">
        <f>'Formato 7 d)'!G14</f>
        <v>0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0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2015807402.9881349</v>
      </c>
      <c r="Q12" s="18">
        <f>'Formato 7 d)'!C18</f>
        <v>2559333252.9422998</v>
      </c>
      <c r="R12" s="18">
        <f>'Formato 7 d)'!D18</f>
        <v>1914373628.95</v>
      </c>
      <c r="S12" s="18">
        <f>'Formato 7 d)'!E18</f>
        <v>2023475534.7299986</v>
      </c>
      <c r="T12" s="18">
        <f>'Formato 7 d)'!F18</f>
        <v>2049786632.1100001</v>
      </c>
      <c r="U12" s="18">
        <f>'Formato 7 d)'!G18</f>
        <v>855067805.31999862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1109839134.5343962</v>
      </c>
      <c r="Q13" s="18">
        <f>'Formato 7 d)'!C19</f>
        <v>1855729649.0212002</v>
      </c>
      <c r="R13" s="18">
        <f>'Formato 7 d)'!D19</f>
        <v>1334164885.49</v>
      </c>
      <c r="S13" s="18">
        <f>'Formato 7 d)'!E19</f>
        <v>1413017104.6899986</v>
      </c>
      <c r="T13" s="18">
        <f>'Formato 7 d)'!F19</f>
        <v>1777626279.0599999</v>
      </c>
      <c r="U13" s="18">
        <f>'Formato 7 d)'!G19</f>
        <v>808101588.39999855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61412298.987549976</v>
      </c>
      <c r="Q14" s="18">
        <f>'Formato 7 d)'!C20</f>
        <v>69853166.788599998</v>
      </c>
      <c r="R14" s="18">
        <f>'Formato 7 d)'!D20</f>
        <v>51905322.640000001</v>
      </c>
      <c r="S14" s="18">
        <f>'Formato 7 d)'!E20</f>
        <v>51170361.079999954</v>
      </c>
      <c r="T14" s="18">
        <f>'Formato 7 d)'!F20</f>
        <v>63427987.380000003</v>
      </c>
      <c r="U14" s="18">
        <f>'Formato 7 d)'!G20</f>
        <v>15733518.299999991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246318170.72400865</v>
      </c>
      <c r="Q15" s="18">
        <f>'Formato 7 d)'!C21</f>
        <v>243460785.87729996</v>
      </c>
      <c r="R15" s="18">
        <f>'Formato 7 d)'!D21</f>
        <v>111459996.03999998</v>
      </c>
      <c r="S15" s="18">
        <f>'Formato 7 d)'!E21</f>
        <v>69315904.649999931</v>
      </c>
      <c r="T15" s="18">
        <f>'Formato 7 d)'!F21</f>
        <v>80685847.199999988</v>
      </c>
      <c r="U15" s="18">
        <f>'Formato 7 d)'!G21</f>
        <v>19908170.690000016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185466753.13293999</v>
      </c>
      <c r="Q16" s="18">
        <f>'Formato 7 d)'!C22</f>
        <v>302313020.51999998</v>
      </c>
      <c r="R16" s="18">
        <f>'Formato 7 d)'!D22</f>
        <v>260444835.19000003</v>
      </c>
      <c r="S16" s="18">
        <f>'Formato 7 d)'!E22</f>
        <v>343452777.21000004</v>
      </c>
      <c r="T16" s="18">
        <f>'Formato 7 d)'!F22</f>
        <v>9900722.6199999992</v>
      </c>
      <c r="U16" s="18">
        <f>'Formato 7 d)'!G22</f>
        <v>2944673.59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260016724.88924003</v>
      </c>
      <c r="Q17" s="18">
        <f>'Formato 7 d)'!C23</f>
        <v>52041887.445199996</v>
      </c>
      <c r="R17" s="18">
        <f>'Formato 7 d)'!D23</f>
        <v>61573395.25</v>
      </c>
      <c r="S17" s="18">
        <f>'Formato 7 d)'!E23</f>
        <v>35479575.700000003</v>
      </c>
      <c r="T17" s="18">
        <f>'Formato 7 d)'!F23</f>
        <v>28907668.909999974</v>
      </c>
      <c r="U17" s="18">
        <f>'Formato 7 d)'!G23</f>
        <v>3665709.19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152754320.72000003</v>
      </c>
      <c r="Q18" s="18">
        <f>'Formato 7 d)'!C24</f>
        <v>35934743.289999999</v>
      </c>
      <c r="R18" s="18">
        <f>'Formato 7 d)'!D24</f>
        <v>94825194.339999989</v>
      </c>
      <c r="S18" s="18">
        <f>'Formato 7 d)'!E24</f>
        <v>111039811.39999999</v>
      </c>
      <c r="T18" s="18">
        <f>'Formato 7 d)'!F24</f>
        <v>89238126.939999998</v>
      </c>
      <c r="U18" s="18">
        <f>'Formato 7 d)'!G24</f>
        <v>4714145.1500000004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3044716255.1353002</v>
      </c>
      <c r="Q22" s="18">
        <f>'Formato 7 d)'!C29</f>
        <v>3221366955.4410996</v>
      </c>
      <c r="R22" s="18">
        <f>'Formato 7 d)'!D29</f>
        <v>3222395611.0799999</v>
      </c>
      <c r="S22" s="18">
        <f>'Formato 7 d)'!E29</f>
        <v>3530595141.079998</v>
      </c>
      <c r="T22" s="18">
        <f>'Formato 7 d)'!F29</f>
        <v>3598508266.289999</v>
      </c>
      <c r="U22" s="18">
        <f>'Formato 7 d)'!G29</f>
        <v>1462274856.9699984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4"/>
  <dimension ref="A1:XFC67"/>
  <sheetViews>
    <sheetView showGridLines="0" topLeftCell="A5" zoomScale="90" zoomScaleNormal="90" workbookViewId="0">
      <selection activeCell="A5" sqref="A5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88" customFormat="1" ht="34.5" customHeight="1" x14ac:dyDescent="0.25">
      <c r="A1" s="167" t="s">
        <v>495</v>
      </c>
      <c r="B1" s="167"/>
      <c r="C1" s="167"/>
      <c r="D1" s="167"/>
      <c r="E1" s="167"/>
      <c r="F1" s="167"/>
      <c r="G1" s="108"/>
    </row>
    <row r="2" spans="1:7" ht="14.25" x14ac:dyDescent="0.45">
      <c r="A2" s="155" t="str">
        <f>ENTE_PUBLICO</f>
        <v>Universidad de Guanajuato, Gobierno del Estado de Guanajuato</v>
      </c>
      <c r="B2" s="156"/>
      <c r="C2" s="156"/>
      <c r="D2" s="156"/>
      <c r="E2" s="156"/>
      <c r="F2" s="157"/>
    </row>
    <row r="3" spans="1:7" ht="14.25" x14ac:dyDescent="0.45">
      <c r="A3" s="164" t="s">
        <v>496</v>
      </c>
      <c r="B3" s="165"/>
      <c r="C3" s="165"/>
      <c r="D3" s="165"/>
      <c r="E3" s="165"/>
      <c r="F3" s="166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1" t="s">
        <v>502</v>
      </c>
      <c r="B5" s="5"/>
      <c r="C5" s="5"/>
      <c r="D5" s="5"/>
      <c r="E5" s="5"/>
      <c r="F5" s="5"/>
    </row>
    <row r="6" spans="1:7" ht="30" x14ac:dyDescent="0.25">
      <c r="A6" s="132" t="s">
        <v>503</v>
      </c>
      <c r="B6" s="60"/>
      <c r="C6" s="60"/>
      <c r="D6" s="60"/>
      <c r="E6" s="60"/>
      <c r="F6" s="60"/>
    </row>
    <row r="7" spans="1:7" x14ac:dyDescent="0.25">
      <c r="A7" s="132" t="s">
        <v>504</v>
      </c>
      <c r="B7" s="60"/>
      <c r="C7" s="60"/>
      <c r="D7" s="60"/>
      <c r="E7" s="60"/>
      <c r="F7" s="60"/>
    </row>
    <row r="8" spans="1:7" ht="14.25" x14ac:dyDescent="0.45">
      <c r="A8" s="133"/>
      <c r="B8" s="54"/>
      <c r="C8" s="54"/>
      <c r="D8" s="54"/>
      <c r="E8" s="54"/>
      <c r="F8" s="54"/>
    </row>
    <row r="9" spans="1:7" x14ac:dyDescent="0.25">
      <c r="A9" s="131" t="s">
        <v>505</v>
      </c>
      <c r="B9" s="54"/>
      <c r="C9" s="54"/>
      <c r="D9" s="54"/>
      <c r="E9" s="54"/>
      <c r="F9" s="54"/>
    </row>
    <row r="10" spans="1:7" ht="14.25" x14ac:dyDescent="0.45">
      <c r="A10" s="132" t="s">
        <v>506</v>
      </c>
      <c r="B10" s="60"/>
      <c r="C10" s="60"/>
      <c r="D10" s="60"/>
      <c r="E10" s="60"/>
      <c r="F10" s="60"/>
    </row>
    <row r="11" spans="1:7" x14ac:dyDescent="0.25">
      <c r="A11" s="134" t="s">
        <v>507</v>
      </c>
      <c r="B11" s="60"/>
      <c r="C11" s="60"/>
      <c r="D11" s="60"/>
      <c r="E11" s="60"/>
      <c r="F11" s="60"/>
    </row>
    <row r="12" spans="1:7" x14ac:dyDescent="0.25">
      <c r="A12" s="134" t="s">
        <v>508</v>
      </c>
      <c r="B12" s="60"/>
      <c r="C12" s="60"/>
      <c r="D12" s="60"/>
      <c r="E12" s="60"/>
      <c r="F12" s="60"/>
    </row>
    <row r="13" spans="1:7" ht="14.25" x14ac:dyDescent="0.45">
      <c r="A13" s="134" t="s">
        <v>509</v>
      </c>
      <c r="B13" s="60"/>
      <c r="C13" s="60"/>
      <c r="D13" s="60"/>
      <c r="E13" s="60"/>
      <c r="F13" s="60"/>
    </row>
    <row r="14" spans="1:7" ht="14.25" x14ac:dyDescent="0.45">
      <c r="A14" s="132" t="s">
        <v>510</v>
      </c>
      <c r="B14" s="60"/>
      <c r="C14" s="60"/>
      <c r="D14" s="60"/>
      <c r="E14" s="60"/>
      <c r="F14" s="60"/>
    </row>
    <row r="15" spans="1:7" x14ac:dyDescent="0.25">
      <c r="A15" s="134" t="s">
        <v>507</v>
      </c>
      <c r="B15" s="60"/>
      <c r="C15" s="60"/>
      <c r="D15" s="60"/>
      <c r="E15" s="60"/>
      <c r="F15" s="60"/>
    </row>
    <row r="16" spans="1:7" x14ac:dyDescent="0.25">
      <c r="A16" s="134" t="s">
        <v>508</v>
      </c>
      <c r="B16" s="60"/>
      <c r="C16" s="60"/>
      <c r="D16" s="60"/>
      <c r="E16" s="60"/>
      <c r="F16" s="60"/>
    </row>
    <row r="17" spans="1:6" ht="14.25" x14ac:dyDescent="0.45">
      <c r="A17" s="134" t="s">
        <v>509</v>
      </c>
      <c r="B17" s="60"/>
      <c r="C17" s="60"/>
      <c r="D17" s="60"/>
      <c r="E17" s="60"/>
      <c r="F17" s="60"/>
    </row>
    <row r="18" spans="1:6" ht="14.25" x14ac:dyDescent="0.45">
      <c r="A18" s="132" t="s">
        <v>511</v>
      </c>
      <c r="B18" s="140"/>
      <c r="C18" s="60"/>
      <c r="D18" s="60"/>
      <c r="E18" s="60"/>
      <c r="F18" s="60"/>
    </row>
    <row r="19" spans="1:6" x14ac:dyDescent="0.25">
      <c r="A19" s="132" t="s">
        <v>512</v>
      </c>
      <c r="B19" s="60"/>
      <c r="C19" s="60"/>
      <c r="D19" s="60"/>
      <c r="E19" s="60"/>
      <c r="F19" s="60"/>
    </row>
    <row r="20" spans="1:6" x14ac:dyDescent="0.25">
      <c r="A20" s="132" t="s">
        <v>513</v>
      </c>
      <c r="B20" s="141"/>
      <c r="C20" s="141"/>
      <c r="D20" s="141"/>
      <c r="E20" s="141"/>
      <c r="F20" s="141"/>
    </row>
    <row r="21" spans="1:6" x14ac:dyDescent="0.25">
      <c r="A21" s="132" t="s">
        <v>514</v>
      </c>
      <c r="B21" s="141"/>
      <c r="C21" s="141"/>
      <c r="D21" s="141"/>
      <c r="E21" s="141"/>
      <c r="F21" s="141"/>
    </row>
    <row r="22" spans="1:6" ht="14.25" x14ac:dyDescent="0.45">
      <c r="A22" s="64" t="s">
        <v>515</v>
      </c>
      <c r="B22" s="141"/>
      <c r="C22" s="141"/>
      <c r="D22" s="141"/>
      <c r="E22" s="141"/>
      <c r="F22" s="141"/>
    </row>
    <row r="23" spans="1:6" ht="14.25" x14ac:dyDescent="0.45">
      <c r="A23" s="64" t="s">
        <v>516</v>
      </c>
      <c r="B23" s="141"/>
      <c r="C23" s="141"/>
      <c r="D23" s="141"/>
      <c r="E23" s="141"/>
      <c r="F23" s="141"/>
    </row>
    <row r="24" spans="1:6" x14ac:dyDescent="0.25">
      <c r="A24" s="64" t="s">
        <v>517</v>
      </c>
      <c r="B24" s="142"/>
      <c r="C24" s="60"/>
      <c r="D24" s="60"/>
      <c r="E24" s="60"/>
      <c r="F24" s="60"/>
    </row>
    <row r="25" spans="1:6" ht="14.25" x14ac:dyDescent="0.45">
      <c r="A25" s="132" t="s">
        <v>518</v>
      </c>
      <c r="B25" s="142"/>
      <c r="C25" s="60"/>
      <c r="D25" s="60"/>
      <c r="E25" s="60"/>
      <c r="F25" s="60"/>
    </row>
    <row r="26" spans="1:6" ht="14.25" x14ac:dyDescent="0.45">
      <c r="A26" s="133"/>
      <c r="B26" s="54"/>
      <c r="C26" s="54"/>
      <c r="D26" s="54"/>
      <c r="E26" s="54"/>
      <c r="F26" s="54"/>
    </row>
    <row r="27" spans="1:6" ht="14.25" x14ac:dyDescent="0.45">
      <c r="A27" s="131" t="s">
        <v>519</v>
      </c>
      <c r="B27" s="54"/>
      <c r="C27" s="54"/>
      <c r="D27" s="54"/>
      <c r="E27" s="54"/>
      <c r="F27" s="54"/>
    </row>
    <row r="28" spans="1:6" ht="14.25" x14ac:dyDescent="0.45">
      <c r="A28" s="132" t="s">
        <v>520</v>
      </c>
      <c r="B28" s="60"/>
      <c r="C28" s="60"/>
      <c r="D28" s="60"/>
      <c r="E28" s="60"/>
      <c r="F28" s="60"/>
    </row>
    <row r="29" spans="1:6" x14ac:dyDescent="0.25">
      <c r="A29" s="133"/>
      <c r="B29" s="54"/>
      <c r="C29" s="54"/>
      <c r="D29" s="54"/>
      <c r="E29" s="54"/>
      <c r="F29" s="54"/>
    </row>
    <row r="30" spans="1:6" x14ac:dyDescent="0.25">
      <c r="A30" s="131" t="s">
        <v>521</v>
      </c>
      <c r="B30" s="54"/>
      <c r="C30" s="54"/>
      <c r="D30" s="54"/>
      <c r="E30" s="54"/>
      <c r="F30" s="54"/>
    </row>
    <row r="31" spans="1:6" x14ac:dyDescent="0.25">
      <c r="A31" s="132" t="s">
        <v>506</v>
      </c>
      <c r="B31" s="60"/>
      <c r="C31" s="60"/>
      <c r="D31" s="60"/>
      <c r="E31" s="60"/>
      <c r="F31" s="60"/>
    </row>
    <row r="32" spans="1:6" x14ac:dyDescent="0.25">
      <c r="A32" s="132" t="s">
        <v>510</v>
      </c>
      <c r="B32" s="60"/>
      <c r="C32" s="60"/>
      <c r="D32" s="60"/>
      <c r="E32" s="60"/>
      <c r="F32" s="60"/>
    </row>
    <row r="33" spans="1:6" x14ac:dyDescent="0.25">
      <c r="A33" s="132" t="s">
        <v>522</v>
      </c>
      <c r="B33" s="60"/>
      <c r="C33" s="60"/>
      <c r="D33" s="60"/>
      <c r="E33" s="60"/>
      <c r="F33" s="60"/>
    </row>
    <row r="34" spans="1:6" x14ac:dyDescent="0.25">
      <c r="A34" s="133"/>
      <c r="B34" s="54"/>
      <c r="C34" s="54"/>
      <c r="D34" s="54"/>
      <c r="E34" s="54"/>
      <c r="F34" s="54"/>
    </row>
    <row r="35" spans="1:6" x14ac:dyDescent="0.25">
      <c r="A35" s="131" t="s">
        <v>523</v>
      </c>
      <c r="B35" s="54"/>
      <c r="C35" s="54"/>
      <c r="D35" s="54"/>
      <c r="E35" s="54"/>
      <c r="F35" s="54"/>
    </row>
    <row r="36" spans="1:6" x14ac:dyDescent="0.25">
      <c r="A36" s="132" t="s">
        <v>524</v>
      </c>
      <c r="B36" s="60"/>
      <c r="C36" s="60"/>
      <c r="D36" s="60"/>
      <c r="E36" s="60"/>
      <c r="F36" s="60"/>
    </row>
    <row r="37" spans="1:6" x14ac:dyDescent="0.25">
      <c r="A37" s="132" t="s">
        <v>525</v>
      </c>
      <c r="B37" s="60"/>
      <c r="C37" s="60"/>
      <c r="D37" s="60"/>
      <c r="E37" s="60"/>
      <c r="F37" s="60"/>
    </row>
    <row r="38" spans="1:6" x14ac:dyDescent="0.25">
      <c r="A38" s="132" t="s">
        <v>526</v>
      </c>
      <c r="B38" s="142"/>
      <c r="C38" s="60"/>
      <c r="D38" s="60"/>
      <c r="E38" s="60"/>
      <c r="F38" s="60"/>
    </row>
    <row r="39" spans="1:6" x14ac:dyDescent="0.25">
      <c r="A39" s="133"/>
      <c r="B39" s="54"/>
      <c r="C39" s="54"/>
      <c r="D39" s="54"/>
      <c r="E39" s="54"/>
      <c r="F39" s="54"/>
    </row>
    <row r="40" spans="1:6" x14ac:dyDescent="0.25">
      <c r="A40" s="131" t="s">
        <v>527</v>
      </c>
      <c r="B40" s="60"/>
      <c r="C40" s="60"/>
      <c r="D40" s="60"/>
      <c r="E40" s="60"/>
      <c r="F40" s="60"/>
    </row>
    <row r="41" spans="1:6" x14ac:dyDescent="0.25">
      <c r="A41" s="133"/>
      <c r="B41" s="54"/>
      <c r="C41" s="54"/>
      <c r="D41" s="54"/>
      <c r="E41" s="54"/>
      <c r="F41" s="54"/>
    </row>
    <row r="42" spans="1:6" x14ac:dyDescent="0.25">
      <c r="A42" s="131" t="s">
        <v>528</v>
      </c>
      <c r="B42" s="54"/>
      <c r="C42" s="54"/>
      <c r="D42" s="54"/>
      <c r="E42" s="54"/>
      <c r="F42" s="54"/>
    </row>
    <row r="43" spans="1:6" x14ac:dyDescent="0.25">
      <c r="A43" s="132" t="s">
        <v>529</v>
      </c>
      <c r="B43" s="60"/>
      <c r="C43" s="60"/>
      <c r="D43" s="60"/>
      <c r="E43" s="60"/>
      <c r="F43" s="60"/>
    </row>
    <row r="44" spans="1:6" x14ac:dyDescent="0.25">
      <c r="A44" s="132" t="s">
        <v>530</v>
      </c>
      <c r="B44" s="60"/>
      <c r="C44" s="60"/>
      <c r="D44" s="60"/>
      <c r="E44" s="60"/>
      <c r="F44" s="60"/>
    </row>
    <row r="45" spans="1:6" x14ac:dyDescent="0.25">
      <c r="A45" s="132" t="s">
        <v>531</v>
      </c>
      <c r="B45" s="60"/>
      <c r="C45" s="60"/>
      <c r="D45" s="60"/>
      <c r="E45" s="60"/>
      <c r="F45" s="60"/>
    </row>
    <row r="46" spans="1:6" x14ac:dyDescent="0.25">
      <c r="A46" s="133"/>
      <c r="B46" s="54"/>
      <c r="C46" s="54"/>
      <c r="D46" s="54"/>
      <c r="E46" s="54"/>
      <c r="F46" s="54"/>
    </row>
    <row r="47" spans="1:6" ht="30" x14ac:dyDescent="0.25">
      <c r="A47" s="131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1"/>
      <c r="C48" s="141"/>
      <c r="D48" s="141"/>
      <c r="E48" s="141"/>
      <c r="F48" s="141"/>
    </row>
    <row r="49" spans="1:6" x14ac:dyDescent="0.25">
      <c r="A49" s="64" t="s">
        <v>531</v>
      </c>
      <c r="B49" s="141"/>
      <c r="C49" s="141"/>
      <c r="D49" s="141"/>
      <c r="E49" s="141"/>
      <c r="F49" s="141"/>
    </row>
    <row r="50" spans="1:6" x14ac:dyDescent="0.25">
      <c r="A50" s="133"/>
      <c r="B50" s="54"/>
      <c r="C50" s="54"/>
      <c r="D50" s="54"/>
      <c r="E50" s="54"/>
      <c r="F50" s="54"/>
    </row>
    <row r="51" spans="1:6" x14ac:dyDescent="0.25">
      <c r="A51" s="131" t="s">
        <v>533</v>
      </c>
      <c r="B51" s="54"/>
      <c r="C51" s="54"/>
      <c r="D51" s="54"/>
      <c r="E51" s="54"/>
      <c r="F51" s="54"/>
    </row>
    <row r="52" spans="1:6" x14ac:dyDescent="0.25">
      <c r="A52" s="132" t="s">
        <v>530</v>
      </c>
      <c r="B52" s="60"/>
      <c r="C52" s="60"/>
      <c r="D52" s="60"/>
      <c r="E52" s="60"/>
      <c r="F52" s="60"/>
    </row>
    <row r="53" spans="1:6" x14ac:dyDescent="0.25">
      <c r="A53" s="132" t="s">
        <v>531</v>
      </c>
      <c r="B53" s="60"/>
      <c r="C53" s="60"/>
      <c r="D53" s="60"/>
      <c r="E53" s="60"/>
      <c r="F53" s="60"/>
    </row>
    <row r="54" spans="1:6" x14ac:dyDescent="0.25">
      <c r="A54" s="132" t="s">
        <v>534</v>
      </c>
      <c r="B54" s="60"/>
      <c r="C54" s="60"/>
      <c r="D54" s="60"/>
      <c r="E54" s="60"/>
      <c r="F54" s="60"/>
    </row>
    <row r="55" spans="1:6" x14ac:dyDescent="0.25">
      <c r="A55" s="133"/>
      <c r="B55" s="54"/>
      <c r="C55" s="54"/>
      <c r="D55" s="54"/>
      <c r="E55" s="54"/>
      <c r="F55" s="54"/>
    </row>
    <row r="56" spans="1:6" x14ac:dyDescent="0.25">
      <c r="A56" s="131" t="s">
        <v>535</v>
      </c>
      <c r="B56" s="54"/>
      <c r="C56" s="54"/>
      <c r="D56" s="54"/>
      <c r="E56" s="54"/>
      <c r="F56" s="54"/>
    </row>
    <row r="57" spans="1:6" x14ac:dyDescent="0.25">
      <c r="A57" s="132" t="s">
        <v>530</v>
      </c>
      <c r="B57" s="60"/>
      <c r="C57" s="60"/>
      <c r="D57" s="60"/>
      <c r="E57" s="60"/>
      <c r="F57" s="60"/>
    </row>
    <row r="58" spans="1:6" x14ac:dyDescent="0.25">
      <c r="A58" s="132" t="s">
        <v>531</v>
      </c>
      <c r="B58" s="60"/>
      <c r="C58" s="60"/>
      <c r="D58" s="60"/>
      <c r="E58" s="60"/>
      <c r="F58" s="60"/>
    </row>
    <row r="59" spans="1:6" x14ac:dyDescent="0.25">
      <c r="A59" s="133"/>
      <c r="B59" s="54"/>
      <c r="C59" s="54"/>
      <c r="D59" s="54"/>
      <c r="E59" s="54"/>
      <c r="F59" s="54"/>
    </row>
    <row r="60" spans="1:6" x14ac:dyDescent="0.25">
      <c r="A60" s="131" t="s">
        <v>536</v>
      </c>
      <c r="B60" s="54"/>
      <c r="C60" s="54"/>
      <c r="D60" s="54"/>
      <c r="E60" s="54"/>
      <c r="F60" s="54"/>
    </row>
    <row r="61" spans="1:6" x14ac:dyDescent="0.25">
      <c r="A61" s="132" t="s">
        <v>537</v>
      </c>
      <c r="B61" s="60"/>
      <c r="C61" s="60"/>
      <c r="D61" s="60"/>
      <c r="E61" s="60"/>
      <c r="F61" s="60"/>
    </row>
    <row r="62" spans="1:6" x14ac:dyDescent="0.25">
      <c r="A62" s="132" t="s">
        <v>538</v>
      </c>
      <c r="B62" s="142"/>
      <c r="C62" s="60"/>
      <c r="D62" s="60"/>
      <c r="E62" s="60"/>
      <c r="F62" s="60"/>
    </row>
    <row r="63" spans="1:6" x14ac:dyDescent="0.25">
      <c r="A63" s="133"/>
      <c r="B63" s="54"/>
      <c r="C63" s="54"/>
      <c r="D63" s="54"/>
      <c r="E63" s="54"/>
      <c r="F63" s="54"/>
    </row>
    <row r="64" spans="1:6" x14ac:dyDescent="0.25">
      <c r="A64" s="131" t="s">
        <v>539</v>
      </c>
      <c r="B64" s="54"/>
      <c r="C64" s="54"/>
      <c r="D64" s="54"/>
      <c r="E64" s="54"/>
      <c r="F64" s="54"/>
    </row>
    <row r="65" spans="1:6" x14ac:dyDescent="0.25">
      <c r="A65" s="132" t="s">
        <v>540</v>
      </c>
      <c r="B65" s="60"/>
      <c r="C65" s="60"/>
      <c r="D65" s="60"/>
      <c r="E65" s="60"/>
      <c r="F65" s="60"/>
    </row>
    <row r="66" spans="1:6" x14ac:dyDescent="0.25">
      <c r="A66" s="132" t="s">
        <v>541</v>
      </c>
      <c r="B66" s="60"/>
      <c r="C66" s="60"/>
      <c r="D66" s="60"/>
      <c r="E66" s="60"/>
      <c r="F66" s="60"/>
    </row>
    <row r="67" spans="1:6" x14ac:dyDescent="0.25">
      <c r="A67" s="137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 xr:uid="{00000000-0002-0000-1D00-000000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1D00-000001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D00-000002000000}">
      <formula1>1900</formula1>
      <formula2>2099</formula2>
    </dataValidation>
    <dataValidation type="whole" allowBlank="1" showInputMessage="1" showErrorMessage="1" prompt="Promedio de años de servicios de los trabajadores afiliados activos." sqref="B19:F19" xr:uid="{00000000-0002-0000-1D00-000003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D00-000004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1D00-000005000000}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 xr:uid="{00000000-0002-0000-1D00-000006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1D00-000007000000}">
      <formula1>0</formula1>
      <formula2>199</formula2>
    </dataValidation>
    <dataValidation type="whole" allowBlank="1" showInputMessage="1" showErrorMessage="1" prompt="El año en que el plan se encuentre en descapitalización." sqref="B61:F61" xr:uid="{00000000-0002-0000-1D00-000008000000}">
      <formula1>1900</formula1>
      <formula2>2099</formula2>
    </dataValidation>
    <dataValidation allowBlank="1" showInputMessage="1" showErrorMessage="1" prompt="La empresa o institución que elaboró el estudio actuarial más reciente." sqref="B66:F66" xr:uid="{00000000-0002-0000-1D00-000009000000}"/>
    <dataValidation allowBlank="1" showInputMessage="1" showErrorMessage="1" prompt="Definir si el tipo de sistema corresponde a una prestación laboral o es un fondo general para trabajadores del estado o municipio." sqref="B6:F6" xr:uid="{00000000-0002-0000-1D00-00000A000000}"/>
    <dataValidation allowBlank="1" showInputMessage="1" showErrorMessage="1" prompt="Definir si el tipo de sistema es un plan de beneficio definido, de contribución definida o mixto." sqref="B7:F7" xr:uid="{00000000-0002-0000-1D00-00000B000000}"/>
    <dataValidation type="whole" allowBlank="1" showInputMessage="1" showErrorMessage="1" sqref="B11:F13 B15:F17" xr:uid="{00000000-0002-0000-1D00-00000C000000}">
      <formula1>0</formula1>
      <formula2>199</formula2>
    </dataValidation>
    <dataValidation type="decimal" allowBlank="1" showInputMessage="1" showErrorMessage="1" sqref="B52:F54 B57:F58 B62:F62 B43:F45 B36:F38 B31:F33 B28:F28" xr:uid="{00000000-0002-0000-1D00-00000D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 xr:uid="{00000000-0002-0000-1D00-00000E000000}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 xr:uid="{00000000-0002-0000-1D00-00000F000000}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 xr:uid="{00000000-0002-0000-1D00-000010000000}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 xr:uid="{00000000-0002-0000-1D00-000011000000}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 xr:uid="{00000000-0002-0000-1D00-000012000000}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 xr:uid="{00000000-0002-0000-1D00-000013000000}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 xr:uid="{00000000-0002-0000-1D00-000014000000}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 xr:uid="{00000000-0002-0000-1D00-000015000000}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 xr:uid="{00000000-0002-0000-1D00-000016000000}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 xr:uid="{00000000-0002-0000-1D00-000017000000}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 xr:uid="{00000000-0002-0000-1D00-000018000000}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 xr:uid="{00000000-0002-0000-1D00-000019000000}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fitToPage="1"/>
  </sheetPr>
  <dimension ref="A1:F17283"/>
  <sheetViews>
    <sheetView showGridLines="0" tabSelected="1" zoomScale="90" zoomScaleNormal="90" workbookViewId="0">
      <selection activeCell="B15" sqref="B15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87" customFormat="1" ht="37.5" customHeight="1" x14ac:dyDescent="0.25">
      <c r="A1" s="167" t="s">
        <v>545</v>
      </c>
      <c r="B1" s="167"/>
      <c r="C1" s="167"/>
      <c r="D1" s="167"/>
      <c r="E1" s="167"/>
      <c r="F1" s="167"/>
    </row>
    <row r="2" spans="1:6" ht="14.25" x14ac:dyDescent="0.45">
      <c r="A2" s="155" t="str">
        <f>ENTE_PUBLICO_A</f>
        <v>Universidad de Guanajuato, Gobierno del Estado de Guanajuato (a)</v>
      </c>
      <c r="B2" s="156"/>
      <c r="C2" s="156"/>
      <c r="D2" s="156"/>
      <c r="E2" s="156"/>
      <c r="F2" s="157"/>
    </row>
    <row r="3" spans="1:6" x14ac:dyDescent="0.25">
      <c r="A3" s="158" t="s">
        <v>117</v>
      </c>
      <c r="B3" s="159"/>
      <c r="C3" s="159"/>
      <c r="D3" s="159"/>
      <c r="E3" s="159"/>
      <c r="F3" s="160"/>
    </row>
    <row r="4" spans="1:6" ht="14.25" x14ac:dyDescent="0.45">
      <c r="A4" s="161" t="str">
        <f>PERIODO_INFORME</f>
        <v>Al 31 de diciembre de 2019 y al 30 de marzo de 2020 (b)</v>
      </c>
      <c r="B4" s="162"/>
      <c r="C4" s="162"/>
      <c r="D4" s="162"/>
      <c r="E4" s="162"/>
      <c r="F4" s="163"/>
    </row>
    <row r="5" spans="1:6" ht="14.25" x14ac:dyDescent="0.45">
      <c r="A5" s="164" t="s">
        <v>118</v>
      </c>
      <c r="B5" s="165"/>
      <c r="C5" s="165"/>
      <c r="D5" s="165"/>
      <c r="E5" s="165"/>
      <c r="F5" s="166"/>
    </row>
    <row r="6" spans="1:6" s="3" customFormat="1" ht="28.5" x14ac:dyDescent="0.45">
      <c r="A6" s="128" t="s">
        <v>3284</v>
      </c>
      <c r="B6" s="129" t="str">
        <f>ANIO</f>
        <v>2020 (d)</v>
      </c>
      <c r="C6" s="126" t="str">
        <f>ULTIMO</f>
        <v>31 de diciembre de 2019 (e)</v>
      </c>
      <c r="D6" s="130" t="s">
        <v>0</v>
      </c>
      <c r="E6" s="129" t="str">
        <f>ANIO</f>
        <v>2020 (d)</v>
      </c>
      <c r="F6" s="126" t="str">
        <f>ULTIMO</f>
        <v>31 de diciembre de 2019 (e)</v>
      </c>
    </row>
    <row r="7" spans="1:6" ht="14.25" x14ac:dyDescent="0.45">
      <c r="A7" s="91" t="s">
        <v>1</v>
      </c>
      <c r="B7" s="84"/>
      <c r="C7" s="84"/>
      <c r="D7" s="95" t="s">
        <v>52</v>
      </c>
      <c r="E7" s="84"/>
      <c r="F7" s="84"/>
    </row>
    <row r="8" spans="1:6" ht="14.25" x14ac:dyDescent="0.45">
      <c r="A8" s="38" t="s">
        <v>2</v>
      </c>
      <c r="B8" s="54"/>
      <c r="C8" s="54"/>
      <c r="D8" s="96" t="s">
        <v>53</v>
      </c>
      <c r="E8" s="54"/>
      <c r="F8" s="54"/>
    </row>
    <row r="9" spans="1:6" ht="14.25" x14ac:dyDescent="0.45">
      <c r="A9" s="92" t="s">
        <v>3</v>
      </c>
      <c r="B9" s="60">
        <f>SUM(B10:B16)</f>
        <v>708787828</v>
      </c>
      <c r="C9" s="60">
        <f>SUM(C10:C16)</f>
        <v>422752885</v>
      </c>
      <c r="D9" s="97" t="s">
        <v>54</v>
      </c>
      <c r="E9" s="60">
        <f>SUM(E10:E18)</f>
        <v>67445452</v>
      </c>
      <c r="F9" s="60">
        <f>SUM(F10:F18)</f>
        <v>131284641</v>
      </c>
    </row>
    <row r="10" spans="1:6" x14ac:dyDescent="0.25">
      <c r="A10" s="93" t="s">
        <v>4</v>
      </c>
      <c r="B10" s="60">
        <v>1351917</v>
      </c>
      <c r="C10" s="60">
        <v>86917</v>
      </c>
      <c r="D10" s="98" t="s">
        <v>55</v>
      </c>
      <c r="E10" s="60">
        <v>1934224</v>
      </c>
      <c r="F10" s="60">
        <v>14975615</v>
      </c>
    </row>
    <row r="11" spans="1:6" x14ac:dyDescent="0.25">
      <c r="A11" s="93" t="s">
        <v>5</v>
      </c>
      <c r="B11" s="60">
        <v>570735084</v>
      </c>
      <c r="C11" s="60">
        <v>292716947</v>
      </c>
      <c r="D11" s="98" t="s">
        <v>56</v>
      </c>
      <c r="E11" s="60">
        <v>15094831</v>
      </c>
      <c r="F11" s="60">
        <v>44643040</v>
      </c>
    </row>
    <row r="12" spans="1:6" x14ac:dyDescent="0.25">
      <c r="A12" s="93" t="s">
        <v>6</v>
      </c>
      <c r="B12" s="74">
        <v>2486030</v>
      </c>
      <c r="C12" s="60">
        <v>2924215</v>
      </c>
      <c r="D12" s="98" t="s">
        <v>57</v>
      </c>
      <c r="E12" s="60">
        <v>6193946</v>
      </c>
      <c r="F12" s="60">
        <v>7713015</v>
      </c>
    </row>
    <row r="13" spans="1:6" x14ac:dyDescent="0.25">
      <c r="A13" s="93" t="s">
        <v>7</v>
      </c>
      <c r="B13" s="60">
        <v>80015471</v>
      </c>
      <c r="C13" s="60">
        <v>80375789</v>
      </c>
      <c r="D13" s="98" t="s">
        <v>58</v>
      </c>
      <c r="E13" s="60">
        <v>0</v>
      </c>
      <c r="F13" s="60">
        <v>0</v>
      </c>
    </row>
    <row r="14" spans="1:6" x14ac:dyDescent="0.25">
      <c r="A14" s="93" t="s">
        <v>8</v>
      </c>
      <c r="B14" s="60">
        <v>54199326</v>
      </c>
      <c r="C14" s="60">
        <v>46649017</v>
      </c>
      <c r="D14" s="98" t="s">
        <v>59</v>
      </c>
      <c r="E14" s="60">
        <v>0</v>
      </c>
      <c r="F14" s="60">
        <v>-332788</v>
      </c>
    </row>
    <row r="15" spans="1:6" x14ac:dyDescent="0.25">
      <c r="A15" s="93" t="s">
        <v>9</v>
      </c>
      <c r="B15" s="60">
        <v>0</v>
      </c>
      <c r="C15" s="60">
        <v>0</v>
      </c>
      <c r="D15" s="98" t="s">
        <v>60</v>
      </c>
      <c r="E15" s="60">
        <v>0</v>
      </c>
      <c r="F15" s="60">
        <v>0</v>
      </c>
    </row>
    <row r="16" spans="1:6" x14ac:dyDescent="0.25">
      <c r="A16" s="93" t="s">
        <v>10</v>
      </c>
      <c r="B16" s="60">
        <v>0</v>
      </c>
      <c r="C16" s="60">
        <v>0</v>
      </c>
      <c r="D16" s="98" t="s">
        <v>61</v>
      </c>
      <c r="E16" s="60">
        <v>29278171</v>
      </c>
      <c r="F16" s="60">
        <v>53100720</v>
      </c>
    </row>
    <row r="17" spans="1:6" x14ac:dyDescent="0.25">
      <c r="A17" s="92" t="s">
        <v>11</v>
      </c>
      <c r="B17" s="60">
        <f>SUM(B18:B24)</f>
        <v>105924449</v>
      </c>
      <c r="C17" s="60">
        <f>SUM(C18:C24)</f>
        <v>102029932</v>
      </c>
      <c r="D17" s="98" t="s">
        <v>62</v>
      </c>
      <c r="E17" s="60">
        <v>8355750</v>
      </c>
      <c r="F17" s="60">
        <v>10263309</v>
      </c>
    </row>
    <row r="18" spans="1:6" x14ac:dyDescent="0.25">
      <c r="A18" s="94" t="s">
        <v>12</v>
      </c>
      <c r="B18" s="60">
        <v>0</v>
      </c>
      <c r="C18" s="60">
        <v>0</v>
      </c>
      <c r="D18" s="98" t="s">
        <v>63</v>
      </c>
      <c r="E18" s="60">
        <v>6588530</v>
      </c>
      <c r="F18" s="60">
        <v>921730</v>
      </c>
    </row>
    <row r="19" spans="1:6" x14ac:dyDescent="0.25">
      <c r="A19" s="94" t="s">
        <v>13</v>
      </c>
      <c r="B19" s="60">
        <v>92871639</v>
      </c>
      <c r="C19" s="60">
        <v>90498850</v>
      </c>
      <c r="D19" s="97" t="s">
        <v>64</v>
      </c>
      <c r="E19" s="60">
        <f>SUM(E20:E22)</f>
        <v>58400</v>
      </c>
      <c r="F19" s="60">
        <f>SUM(F20:F22)</f>
        <v>55000</v>
      </c>
    </row>
    <row r="20" spans="1:6" x14ac:dyDescent="0.25">
      <c r="A20" s="94" t="s">
        <v>14</v>
      </c>
      <c r="B20" s="60">
        <v>1983722</v>
      </c>
      <c r="C20" s="60">
        <v>1670307</v>
      </c>
      <c r="D20" s="98" t="s">
        <v>65</v>
      </c>
      <c r="E20" s="60">
        <v>58400</v>
      </c>
      <c r="F20" s="60">
        <v>55000</v>
      </c>
    </row>
    <row r="21" spans="1:6" x14ac:dyDescent="0.25">
      <c r="A21" s="94" t="s">
        <v>15</v>
      </c>
      <c r="B21" s="60">
        <v>2234</v>
      </c>
      <c r="C21" s="60">
        <v>0</v>
      </c>
      <c r="D21" s="98" t="s">
        <v>66</v>
      </c>
      <c r="E21" s="60">
        <v>0</v>
      </c>
      <c r="F21" s="60">
        <v>0</v>
      </c>
    </row>
    <row r="22" spans="1:6" x14ac:dyDescent="0.25">
      <c r="A22" s="94" t="s">
        <v>16</v>
      </c>
      <c r="B22" s="60">
        <v>0</v>
      </c>
      <c r="C22" s="60">
        <v>0</v>
      </c>
      <c r="D22" s="98" t="s">
        <v>67</v>
      </c>
      <c r="E22" s="60">
        <v>0</v>
      </c>
      <c r="F22" s="60">
        <v>0</v>
      </c>
    </row>
    <row r="23" spans="1:6" x14ac:dyDescent="0.25">
      <c r="A23" s="94" t="s">
        <v>17</v>
      </c>
      <c r="B23" s="60">
        <v>11068369</v>
      </c>
      <c r="C23" s="60">
        <v>9862690</v>
      </c>
      <c r="D23" s="97" t="s">
        <v>68</v>
      </c>
      <c r="E23" s="60">
        <f>E24+E25</f>
        <v>0</v>
      </c>
      <c r="F23" s="60">
        <f>F24+F25</f>
        <v>0</v>
      </c>
    </row>
    <row r="24" spans="1:6" x14ac:dyDescent="0.25">
      <c r="A24" s="94" t="s">
        <v>18</v>
      </c>
      <c r="B24" s="60">
        <v>-1515</v>
      </c>
      <c r="C24" s="60">
        <v>-1915</v>
      </c>
      <c r="D24" s="98" t="s">
        <v>69</v>
      </c>
      <c r="E24" s="60">
        <v>0</v>
      </c>
      <c r="F24" s="60">
        <v>0</v>
      </c>
    </row>
    <row r="25" spans="1:6" x14ac:dyDescent="0.25">
      <c r="A25" s="92" t="s">
        <v>19</v>
      </c>
      <c r="B25" s="60">
        <f>SUM(B26:B30)</f>
        <v>39145600</v>
      </c>
      <c r="C25" s="60">
        <f>SUM(C26:C30)</f>
        <v>42874304</v>
      </c>
      <c r="D25" s="98" t="s">
        <v>70</v>
      </c>
      <c r="E25" s="60">
        <v>0</v>
      </c>
      <c r="F25" s="60">
        <v>0</v>
      </c>
    </row>
    <row r="26" spans="1:6" x14ac:dyDescent="0.25">
      <c r="A26" s="94" t="s">
        <v>20</v>
      </c>
      <c r="B26" s="60">
        <v>1298526</v>
      </c>
      <c r="C26" s="60">
        <v>1995824</v>
      </c>
      <c r="D26" s="97" t="s">
        <v>71</v>
      </c>
      <c r="E26" s="60">
        <v>0</v>
      </c>
      <c r="F26" s="60">
        <v>0</v>
      </c>
    </row>
    <row r="27" spans="1:6" x14ac:dyDescent="0.25">
      <c r="A27" s="94" t="s">
        <v>21</v>
      </c>
      <c r="B27" s="60">
        <v>0</v>
      </c>
      <c r="C27" s="60">
        <v>0</v>
      </c>
      <c r="D27" s="97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4" t="s">
        <v>22</v>
      </c>
      <c r="B28" s="60">
        <v>0</v>
      </c>
      <c r="C28" s="60">
        <v>0</v>
      </c>
      <c r="D28" s="98" t="s">
        <v>73</v>
      </c>
      <c r="E28" s="60">
        <v>0</v>
      </c>
      <c r="F28" s="60">
        <v>0</v>
      </c>
    </row>
    <row r="29" spans="1:6" x14ac:dyDescent="0.25">
      <c r="A29" s="94" t="s">
        <v>23</v>
      </c>
      <c r="B29" s="60">
        <v>37847074</v>
      </c>
      <c r="C29" s="60">
        <v>40878480</v>
      </c>
      <c r="D29" s="98" t="s">
        <v>74</v>
      </c>
      <c r="E29" s="60">
        <v>0</v>
      </c>
      <c r="F29" s="60">
        <v>0</v>
      </c>
    </row>
    <row r="30" spans="1:6" x14ac:dyDescent="0.25">
      <c r="A30" s="94" t="s">
        <v>24</v>
      </c>
      <c r="B30" s="60">
        <v>0</v>
      </c>
      <c r="C30" s="60">
        <v>0</v>
      </c>
      <c r="D30" s="98" t="s">
        <v>75</v>
      </c>
      <c r="E30" s="60">
        <v>0</v>
      </c>
      <c r="F30" s="60">
        <v>0</v>
      </c>
    </row>
    <row r="31" spans="1:6" x14ac:dyDescent="0.25">
      <c r="A31" s="92" t="s">
        <v>25</v>
      </c>
      <c r="B31" s="60">
        <f>SUM(B32:B36)</f>
        <v>0</v>
      </c>
      <c r="C31" s="60">
        <f>SUM(C32:C36)</f>
        <v>0</v>
      </c>
      <c r="D31" s="97" t="s">
        <v>76</v>
      </c>
      <c r="E31" s="60">
        <f>SUM(E32:E37)</f>
        <v>1100600</v>
      </c>
      <c r="F31" s="60">
        <f>SUM(F32:F37)</f>
        <v>1100601</v>
      </c>
    </row>
    <row r="32" spans="1:6" x14ac:dyDescent="0.25">
      <c r="A32" s="94" t="s">
        <v>26</v>
      </c>
      <c r="B32" s="60">
        <v>0</v>
      </c>
      <c r="C32" s="60">
        <v>0</v>
      </c>
      <c r="D32" s="98" t="s">
        <v>77</v>
      </c>
      <c r="E32" s="60">
        <v>0</v>
      </c>
      <c r="F32" s="60">
        <v>0</v>
      </c>
    </row>
    <row r="33" spans="1:6" x14ac:dyDescent="0.25">
      <c r="A33" s="94" t="s">
        <v>27</v>
      </c>
      <c r="B33" s="60">
        <v>0</v>
      </c>
      <c r="C33" s="60">
        <v>0</v>
      </c>
      <c r="D33" s="98" t="s">
        <v>78</v>
      </c>
      <c r="E33" s="60">
        <v>409361</v>
      </c>
      <c r="F33" s="60">
        <v>409361</v>
      </c>
    </row>
    <row r="34" spans="1:6" x14ac:dyDescent="0.25">
      <c r="A34" s="94" t="s">
        <v>28</v>
      </c>
      <c r="B34" s="60">
        <v>0</v>
      </c>
      <c r="C34" s="60">
        <v>0</v>
      </c>
      <c r="D34" s="98" t="s">
        <v>79</v>
      </c>
      <c r="E34" s="60">
        <v>0</v>
      </c>
      <c r="F34" s="60">
        <v>0</v>
      </c>
    </row>
    <row r="35" spans="1:6" x14ac:dyDescent="0.25">
      <c r="A35" s="94" t="s">
        <v>29</v>
      </c>
      <c r="B35" s="60">
        <v>0</v>
      </c>
      <c r="C35" s="60">
        <v>0</v>
      </c>
      <c r="D35" s="98" t="s">
        <v>80</v>
      </c>
      <c r="E35" s="60">
        <v>0</v>
      </c>
      <c r="F35" s="60">
        <v>0</v>
      </c>
    </row>
    <row r="36" spans="1:6" x14ac:dyDescent="0.25">
      <c r="A36" s="94" t="s">
        <v>30</v>
      </c>
      <c r="B36" s="60">
        <v>0</v>
      </c>
      <c r="C36" s="60">
        <v>0</v>
      </c>
      <c r="D36" s="98" t="s">
        <v>81</v>
      </c>
      <c r="E36" s="60">
        <v>691239</v>
      </c>
      <c r="F36" s="60">
        <v>691240</v>
      </c>
    </row>
    <row r="37" spans="1:6" x14ac:dyDescent="0.25">
      <c r="A37" s="92" t="s">
        <v>31</v>
      </c>
      <c r="B37" s="60">
        <v>4032299</v>
      </c>
      <c r="C37" s="60">
        <v>1669622</v>
      </c>
      <c r="D37" s="98" t="s">
        <v>82</v>
      </c>
      <c r="E37" s="60">
        <v>0</v>
      </c>
      <c r="F37" s="60">
        <v>0</v>
      </c>
    </row>
    <row r="38" spans="1:6" x14ac:dyDescent="0.25">
      <c r="A38" s="92" t="s">
        <v>119</v>
      </c>
      <c r="B38" s="60">
        <f>SUM(B39:B40)</f>
        <v>-10750989</v>
      </c>
      <c r="C38" s="60">
        <f>SUM(C39:C40)</f>
        <v>-10750989</v>
      </c>
      <c r="D38" s="97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4" t="s">
        <v>32</v>
      </c>
      <c r="B39" s="60">
        <v>-10750989</v>
      </c>
      <c r="C39" s="60">
        <v>-10750989</v>
      </c>
      <c r="D39" s="98" t="s">
        <v>84</v>
      </c>
      <c r="E39" s="60">
        <v>0</v>
      </c>
      <c r="F39" s="60">
        <v>0</v>
      </c>
    </row>
    <row r="40" spans="1:6" x14ac:dyDescent="0.25">
      <c r="A40" s="94" t="s">
        <v>33</v>
      </c>
      <c r="B40" s="60">
        <v>0</v>
      </c>
      <c r="C40" s="60">
        <v>0</v>
      </c>
      <c r="D40" s="98" t="s">
        <v>85</v>
      </c>
      <c r="E40" s="60">
        <v>0</v>
      </c>
      <c r="F40" s="60">
        <v>0</v>
      </c>
    </row>
    <row r="41" spans="1:6" x14ac:dyDescent="0.25">
      <c r="A41" s="92" t="s">
        <v>34</v>
      </c>
      <c r="B41" s="60">
        <f>SUM(B42:B45)</f>
        <v>978584</v>
      </c>
      <c r="C41" s="60">
        <f>SUM(C42:C45)</f>
        <v>948198</v>
      </c>
      <c r="D41" s="98" t="s">
        <v>86</v>
      </c>
      <c r="E41" s="60">
        <v>0</v>
      </c>
      <c r="F41" s="60">
        <v>0</v>
      </c>
    </row>
    <row r="42" spans="1:6" x14ac:dyDescent="0.25">
      <c r="A42" s="94" t="s">
        <v>35</v>
      </c>
      <c r="B42" s="60">
        <v>978584</v>
      </c>
      <c r="C42" s="60">
        <v>948198</v>
      </c>
      <c r="D42" s="97" t="s">
        <v>87</v>
      </c>
      <c r="E42" s="60">
        <f>SUM(E43:E45)</f>
        <v>29439181</v>
      </c>
      <c r="F42" s="60">
        <f>SUM(F43:F45)</f>
        <v>15723560</v>
      </c>
    </row>
    <row r="43" spans="1:6" x14ac:dyDescent="0.25">
      <c r="A43" s="94" t="s">
        <v>36</v>
      </c>
      <c r="B43" s="60">
        <v>0</v>
      </c>
      <c r="C43" s="60">
        <v>0</v>
      </c>
      <c r="D43" s="98" t="s">
        <v>88</v>
      </c>
      <c r="E43" s="60">
        <v>-81403</v>
      </c>
      <c r="F43" s="60">
        <v>4700123</v>
      </c>
    </row>
    <row r="44" spans="1:6" x14ac:dyDescent="0.25">
      <c r="A44" s="94" t="s">
        <v>37</v>
      </c>
      <c r="B44" s="60">
        <v>0</v>
      </c>
      <c r="C44" s="60">
        <v>0</v>
      </c>
      <c r="D44" s="98" t="s">
        <v>89</v>
      </c>
      <c r="E44" s="60">
        <v>0</v>
      </c>
      <c r="F44" s="60">
        <v>0</v>
      </c>
    </row>
    <row r="45" spans="1:6" x14ac:dyDescent="0.25">
      <c r="A45" s="94" t="s">
        <v>38</v>
      </c>
      <c r="B45" s="60">
        <v>0</v>
      </c>
      <c r="C45" s="60">
        <v>0</v>
      </c>
      <c r="D45" s="98" t="s">
        <v>90</v>
      </c>
      <c r="E45" s="60">
        <v>29520584</v>
      </c>
      <c r="F45" s="60">
        <v>11023437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B9+B17+B25+B31+B38+B41+B37</f>
        <v>848117771</v>
      </c>
      <c r="C47" s="61">
        <f>C9+C17+C25+C31+C38+C41+C37</f>
        <v>559523952</v>
      </c>
      <c r="D47" s="96" t="s">
        <v>91</v>
      </c>
      <c r="E47" s="61">
        <f>E9+E19+E23+E26+E27+E31+E38+E42</f>
        <v>98043633</v>
      </c>
      <c r="F47" s="61">
        <f>F9+F19+F23+F26+F27+F31+F38+F42</f>
        <v>148163802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6" t="s">
        <v>92</v>
      </c>
      <c r="E49" s="54"/>
      <c r="F49" s="54"/>
    </row>
    <row r="50" spans="1:6" x14ac:dyDescent="0.25">
      <c r="A50" s="92" t="s">
        <v>41</v>
      </c>
      <c r="B50" s="60">
        <v>646119035</v>
      </c>
      <c r="C50" s="60">
        <v>626460843</v>
      </c>
      <c r="D50" s="97" t="s">
        <v>93</v>
      </c>
      <c r="E50" s="60">
        <v>0</v>
      </c>
      <c r="F50" s="60">
        <v>0</v>
      </c>
    </row>
    <row r="51" spans="1:6" x14ac:dyDescent="0.25">
      <c r="A51" s="92" t="s">
        <v>42</v>
      </c>
      <c r="B51" s="60">
        <v>3669317</v>
      </c>
      <c r="C51" s="60">
        <v>3246378</v>
      </c>
      <c r="D51" s="97" t="s">
        <v>94</v>
      </c>
      <c r="E51" s="60">
        <v>0</v>
      </c>
      <c r="F51" s="60">
        <v>0</v>
      </c>
    </row>
    <row r="52" spans="1:6" x14ac:dyDescent="0.25">
      <c r="A52" s="92" t="s">
        <v>43</v>
      </c>
      <c r="B52" s="60">
        <v>6021437888</v>
      </c>
      <c r="C52" s="60">
        <v>6002577763</v>
      </c>
      <c r="D52" s="97" t="s">
        <v>95</v>
      </c>
      <c r="E52" s="60">
        <v>0</v>
      </c>
      <c r="F52" s="60">
        <v>0</v>
      </c>
    </row>
    <row r="53" spans="1:6" x14ac:dyDescent="0.25">
      <c r="A53" s="92" t="s">
        <v>44</v>
      </c>
      <c r="B53" s="60">
        <v>2017387749</v>
      </c>
      <c r="C53" s="60">
        <v>1999583690</v>
      </c>
      <c r="D53" s="97" t="s">
        <v>96</v>
      </c>
      <c r="E53" s="60">
        <v>0</v>
      </c>
      <c r="F53" s="60">
        <v>0</v>
      </c>
    </row>
    <row r="54" spans="1:6" x14ac:dyDescent="0.25">
      <c r="A54" s="92" t="s">
        <v>45</v>
      </c>
      <c r="B54" s="60">
        <v>92468772</v>
      </c>
      <c r="C54" s="60">
        <v>92248987</v>
      </c>
      <c r="D54" s="97" t="s">
        <v>97</v>
      </c>
      <c r="E54" s="60">
        <v>0</v>
      </c>
      <c r="F54" s="60">
        <v>0</v>
      </c>
    </row>
    <row r="55" spans="1:6" x14ac:dyDescent="0.25">
      <c r="A55" s="92" t="s">
        <v>46</v>
      </c>
      <c r="B55" s="60">
        <v>-2336203267</v>
      </c>
      <c r="C55" s="60">
        <v>-2219845488</v>
      </c>
      <c r="D55" s="37" t="s">
        <v>98</v>
      </c>
      <c r="E55" s="60">
        <v>556938672</v>
      </c>
      <c r="F55" s="60">
        <v>526020018</v>
      </c>
    </row>
    <row r="56" spans="1:6" x14ac:dyDescent="0.25">
      <c r="A56" s="92" t="s">
        <v>47</v>
      </c>
      <c r="B56" s="60">
        <v>18730271</v>
      </c>
      <c r="C56" s="60">
        <v>18730271</v>
      </c>
      <c r="D56" s="54"/>
      <c r="E56" s="54"/>
      <c r="F56" s="54"/>
    </row>
    <row r="57" spans="1:6" x14ac:dyDescent="0.25">
      <c r="A57" s="92" t="s">
        <v>48</v>
      </c>
      <c r="B57" s="60">
        <v>0</v>
      </c>
      <c r="C57" s="60">
        <v>0</v>
      </c>
      <c r="D57" s="96" t="s">
        <v>99</v>
      </c>
      <c r="E57" s="61">
        <f>SUM(E50:E55)</f>
        <v>556938672</v>
      </c>
      <c r="F57" s="61">
        <f>SUM(F50:F55)</f>
        <v>526020018</v>
      </c>
    </row>
    <row r="58" spans="1:6" x14ac:dyDescent="0.25">
      <c r="A58" s="92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6" t="s">
        <v>100</v>
      </c>
      <c r="E59" s="61">
        <f>E47+E57</f>
        <v>654982305</v>
      </c>
      <c r="F59" s="61">
        <f>F47+F57</f>
        <v>674183820</v>
      </c>
    </row>
    <row r="60" spans="1:6" x14ac:dyDescent="0.25">
      <c r="A60" s="55" t="s">
        <v>50</v>
      </c>
      <c r="B60" s="61">
        <f>SUM(B50:B58)</f>
        <v>6463609765</v>
      </c>
      <c r="C60" s="61">
        <f>SUM(C50:C58)</f>
        <v>6523002444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0"/>
      <c r="F61" s="90"/>
    </row>
    <row r="62" spans="1:6" x14ac:dyDescent="0.25">
      <c r="A62" s="55" t="s">
        <v>51</v>
      </c>
      <c r="B62" s="61">
        <f>SUM(B47+B60)</f>
        <v>7311727536</v>
      </c>
      <c r="C62" s="61">
        <f>SUM(C47+C60)</f>
        <v>7082526396</v>
      </c>
      <c r="D62" s="54"/>
      <c r="E62" s="54"/>
      <c r="F62" s="54"/>
    </row>
    <row r="63" spans="1:6" x14ac:dyDescent="0.25">
      <c r="A63" s="54"/>
      <c r="B63" s="54"/>
      <c r="C63" s="54"/>
      <c r="D63" s="99" t="s">
        <v>102</v>
      </c>
      <c r="E63" s="74">
        <f>SUM(E64:E66)</f>
        <v>3557598828</v>
      </c>
      <c r="F63" s="74">
        <f>SUM(F64:F66)</f>
        <v>3557598828</v>
      </c>
    </row>
    <row r="64" spans="1:6" x14ac:dyDescent="0.25">
      <c r="A64" s="54"/>
      <c r="B64" s="54"/>
      <c r="C64" s="54"/>
      <c r="D64" s="100" t="s">
        <v>103</v>
      </c>
      <c r="E64" s="74">
        <v>3543641522</v>
      </c>
      <c r="F64" s="74">
        <v>3543641522</v>
      </c>
    </row>
    <row r="65" spans="1:6" x14ac:dyDescent="0.25">
      <c r="A65" s="54"/>
      <c r="B65" s="54"/>
      <c r="C65" s="54"/>
      <c r="D65" s="41" t="s">
        <v>104</v>
      </c>
      <c r="E65" s="74">
        <v>13957306</v>
      </c>
      <c r="F65" s="74">
        <v>13957306</v>
      </c>
    </row>
    <row r="66" spans="1:6" x14ac:dyDescent="0.25">
      <c r="A66" s="54"/>
      <c r="B66" s="54"/>
      <c r="C66" s="54"/>
      <c r="D66" s="100" t="s">
        <v>105</v>
      </c>
      <c r="E66" s="74">
        <v>0</v>
      </c>
      <c r="F66" s="74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99" t="s">
        <v>106</v>
      </c>
      <c r="E68" s="74">
        <f>SUM(E69:E73)</f>
        <v>3087275819</v>
      </c>
      <c r="F68" s="74">
        <f>SUM(F69:F73)</f>
        <v>2838873164</v>
      </c>
    </row>
    <row r="69" spans="1:6" x14ac:dyDescent="0.25">
      <c r="A69" s="12"/>
      <c r="B69" s="54"/>
      <c r="C69" s="54"/>
      <c r="D69" s="100" t="s">
        <v>107</v>
      </c>
      <c r="E69" s="74">
        <v>255965363</v>
      </c>
      <c r="F69" s="74">
        <v>-143746509</v>
      </c>
    </row>
    <row r="70" spans="1:6" x14ac:dyDescent="0.25">
      <c r="A70" s="12"/>
      <c r="B70" s="54"/>
      <c r="C70" s="54"/>
      <c r="D70" s="100" t="s">
        <v>108</v>
      </c>
      <c r="E70" s="74">
        <v>-211330300</v>
      </c>
      <c r="F70" s="74">
        <v>-60021083</v>
      </c>
    </row>
    <row r="71" spans="1:6" x14ac:dyDescent="0.25">
      <c r="A71" s="12"/>
      <c r="B71" s="54"/>
      <c r="C71" s="54"/>
      <c r="D71" s="100" t="s">
        <v>109</v>
      </c>
      <c r="E71" s="74">
        <v>3042640756</v>
      </c>
      <c r="F71" s="74">
        <v>3042640756</v>
      </c>
    </row>
    <row r="72" spans="1:6" x14ac:dyDescent="0.25">
      <c r="A72" s="12"/>
      <c r="B72" s="54"/>
      <c r="C72" s="54"/>
      <c r="D72" s="100" t="s">
        <v>110</v>
      </c>
      <c r="E72" s="74">
        <v>0</v>
      </c>
      <c r="F72" s="74">
        <v>0</v>
      </c>
    </row>
    <row r="73" spans="1:6" x14ac:dyDescent="0.25">
      <c r="A73" s="12"/>
      <c r="B73" s="54"/>
      <c r="C73" s="54"/>
      <c r="D73" s="100" t="s">
        <v>111</v>
      </c>
      <c r="E73" s="74">
        <v>0</v>
      </c>
      <c r="F73" s="74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99" t="s">
        <v>112</v>
      </c>
      <c r="E75" s="74">
        <f>E76+E77</f>
        <v>11870584</v>
      </c>
      <c r="F75" s="74">
        <f>F76+F77</f>
        <v>11870584</v>
      </c>
    </row>
    <row r="76" spans="1:6" x14ac:dyDescent="0.25">
      <c r="A76" s="12"/>
      <c r="B76" s="54"/>
      <c r="C76" s="54"/>
      <c r="D76" s="97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97" t="s">
        <v>114</v>
      </c>
      <c r="E77" s="60">
        <v>11870584</v>
      </c>
      <c r="F77" s="60">
        <v>11870584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6" t="s">
        <v>115</v>
      </c>
      <c r="E79" s="61">
        <f>E63+E68+E75</f>
        <v>6656745231</v>
      </c>
      <c r="F79" s="61">
        <f>F63+F68+F75</f>
        <v>6408342576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6" t="s">
        <v>116</v>
      </c>
      <c r="E81" s="61">
        <f>E59+E79</f>
        <v>7311727536</v>
      </c>
      <c r="F81" s="61">
        <f>F59+F79</f>
        <v>7082526396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 xr:uid="{00000000-0002-0000-0300-000000000000}"/>
    <dataValidation allowBlank="1" showInputMessage="1" showErrorMessage="1" prompt="31 de diciembre de 20XN-1 (e)" sqref="C6 F6" xr:uid="{00000000-0002-0000-0300-000001000000}"/>
    <dataValidation type="decimal" allowBlank="1" showInputMessage="1" showErrorMessage="1" sqref="B9:C62 E9:F45 E47 F47 E50:F53 E54:F81" xr:uid="{00000000-0002-0000-0300-000002000000}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708787828</v>
      </c>
      <c r="Q4" s="18">
        <f>'Formato 1'!C9</f>
        <v>422752885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1351917</v>
      </c>
      <c r="Q5" s="18">
        <f>'Formato 1'!C10</f>
        <v>86917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570735084</v>
      </c>
      <c r="Q6" s="18">
        <f>'Formato 1'!C11</f>
        <v>292716947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2486030</v>
      </c>
      <c r="Q7" s="18">
        <f>'Formato 1'!C12</f>
        <v>2924215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80015471</v>
      </c>
      <c r="Q8" s="18">
        <f>'Formato 1'!C13</f>
        <v>80375789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54199326</v>
      </c>
      <c r="Q9" s="18">
        <f>'Formato 1'!C14</f>
        <v>46649017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105924449</v>
      </c>
      <c r="Q12" s="18">
        <f>'Formato 1'!C17</f>
        <v>102029932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92871639</v>
      </c>
      <c r="Q14" s="18">
        <f>'Formato 1'!C19</f>
        <v>90498850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1983722</v>
      </c>
      <c r="Q15" s="18">
        <f>'Formato 1'!C20</f>
        <v>1670307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2234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11068369</v>
      </c>
      <c r="Q18" s="18">
        <f>'Formato 1'!C23</f>
        <v>9862690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-1515</v>
      </c>
      <c r="Q19" s="18">
        <f>'Formato 1'!C24</f>
        <v>-1915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39145600</v>
      </c>
      <c r="Q20" s="18">
        <f>'Formato 1'!C25</f>
        <v>42874304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1298526</v>
      </c>
      <c r="Q21" s="18">
        <f>'Formato 1'!C26</f>
        <v>1995824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37847074</v>
      </c>
      <c r="Q24" s="18">
        <f>'Formato 1'!C29</f>
        <v>40878480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4032299</v>
      </c>
      <c r="Q32" s="18">
        <f>'Formato 1'!C37</f>
        <v>1669622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4032299</v>
      </c>
      <c r="Q33" s="18">
        <f>'Formato 1'!C37</f>
        <v>1669622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-10750989</v>
      </c>
      <c r="Q34" s="18">
        <f>'Formato 1'!C38</f>
        <v>-10750989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-10750989</v>
      </c>
      <c r="Q35" s="18">
        <f>'Formato 1'!C39</f>
        <v>-10750989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978584</v>
      </c>
      <c r="Q37" s="18">
        <f>'Formato 1'!C41</f>
        <v>948198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978584</v>
      </c>
      <c r="Q38" s="18">
        <f>'Formato 1'!C42</f>
        <v>948198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848117771</v>
      </c>
      <c r="Q42" s="18">
        <f>'Formato 1'!C47</f>
        <v>559523952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646119035</v>
      </c>
      <c r="Q44">
        <f>'Formato 1'!C50</f>
        <v>626460843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3669317</v>
      </c>
      <c r="Q45">
        <f>'Formato 1'!C51</f>
        <v>3246378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6021437888</v>
      </c>
      <c r="Q46">
        <f>'Formato 1'!C52</f>
        <v>6002577763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2017387749</v>
      </c>
      <c r="Q47">
        <f>'Formato 1'!C53</f>
        <v>1999583690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92468772</v>
      </c>
      <c r="Q48">
        <f>'Formato 1'!C54</f>
        <v>92248987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-2336203267</v>
      </c>
      <c r="Q49">
        <f>'Formato 1'!C55</f>
        <v>-2219845488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18730271</v>
      </c>
      <c r="Q50">
        <f>'Formato 1'!C56</f>
        <v>18730271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6463609765</v>
      </c>
      <c r="Q53">
        <f>'Formato 1'!C60</f>
        <v>6523002444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7311727536</v>
      </c>
      <c r="Q54">
        <f>'Formato 1'!C62</f>
        <v>7082526396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67445452</v>
      </c>
      <c r="Q57">
        <f>'Formato 1'!F9</f>
        <v>131284641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1934224</v>
      </c>
      <c r="Q58">
        <f>'Formato 1'!F10</f>
        <v>14975615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15094831</v>
      </c>
      <c r="Q59">
        <f>'Formato 1'!F11</f>
        <v>44643040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6193946</v>
      </c>
      <c r="Q60">
        <f>'Formato 1'!F12</f>
        <v>7713015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-332788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29278171</v>
      </c>
      <c r="Q64">
        <f>'Formato 1'!F16</f>
        <v>53100720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8355750</v>
      </c>
      <c r="Q65">
        <f>'Formato 1'!F17</f>
        <v>10263309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6588530</v>
      </c>
      <c r="Q66">
        <f>'Formato 1'!F18</f>
        <v>921730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58400</v>
      </c>
      <c r="Q67">
        <f>'Formato 1'!F19</f>
        <v>55000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58400</v>
      </c>
      <c r="Q68">
        <f>'Formato 1'!F20</f>
        <v>55000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1100600</v>
      </c>
      <c r="Q80">
        <f>'Formato 1'!F31</f>
        <v>1100601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409361</v>
      </c>
      <c r="Q82">
        <f>'Formato 1'!F33</f>
        <v>409361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691239</v>
      </c>
      <c r="Q85">
        <f>'Formato 1'!F36</f>
        <v>691240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29439181</v>
      </c>
      <c r="Q91">
        <f>'Formato 1'!F42</f>
        <v>15723560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-81403</v>
      </c>
      <c r="Q92">
        <f>'Formato 1'!F43</f>
        <v>4700123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29520584</v>
      </c>
      <c r="Q94">
        <f>'Formato 1'!F45</f>
        <v>11023437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98043633</v>
      </c>
      <c r="Q95">
        <f>'Formato 1'!F47</f>
        <v>148163802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556938672</v>
      </c>
      <c r="Q102">
        <f>'Formato 1'!F55</f>
        <v>526020018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556938672</v>
      </c>
      <c r="Q103">
        <f>'Formato 1'!F57</f>
        <v>526020018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654982305</v>
      </c>
      <c r="Q104">
        <f>'Formato 1'!F59</f>
        <v>674183820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3557598828</v>
      </c>
      <c r="Q106">
        <f>'Formato 1'!F63</f>
        <v>3557598828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3543641522</v>
      </c>
      <c r="Q107">
        <f>'Formato 1'!F64</f>
        <v>3543641522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13957306</v>
      </c>
      <c r="Q108">
        <f>'Formato 1'!F65</f>
        <v>13957306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3087275819</v>
      </c>
      <c r="Q110">
        <f>'Formato 1'!F68</f>
        <v>2838873164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255965363</v>
      </c>
      <c r="Q111">
        <f>'Formato 1'!F69</f>
        <v>-143746509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-211330300</v>
      </c>
      <c r="Q112">
        <f>'Formato 1'!F70</f>
        <v>-60021083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3042640756</v>
      </c>
      <c r="Q113">
        <f>'Formato 1'!F71</f>
        <v>3042640756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11870584</v>
      </c>
      <c r="Q116">
        <f>'Formato 1'!F75</f>
        <v>11870584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11870584</v>
      </c>
      <c r="Q118">
        <f>'Formato 1'!F77</f>
        <v>11870584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6656745231</v>
      </c>
      <c r="Q119">
        <f>'Formato 1'!F79</f>
        <v>6408342576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7311727536</v>
      </c>
      <c r="Q120">
        <f>'Formato 1'!F81</f>
        <v>7082526396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1"/>
  <dimension ref="A1:I47"/>
  <sheetViews>
    <sheetView showGridLines="0" topLeftCell="A3" zoomScale="90" zoomScaleNormal="90" workbookViewId="0">
      <selection activeCell="F18" sqref="F18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87" customFormat="1" ht="37.5" customHeight="1" x14ac:dyDescent="0.25">
      <c r="A1" s="169" t="s">
        <v>544</v>
      </c>
      <c r="B1" s="169"/>
      <c r="C1" s="169"/>
      <c r="D1" s="169"/>
      <c r="E1" s="169"/>
      <c r="F1" s="169"/>
      <c r="G1" s="169"/>
      <c r="H1" s="169"/>
    </row>
    <row r="2" spans="1:9" ht="14.25" x14ac:dyDescent="0.45">
      <c r="A2" s="155" t="str">
        <f>ENTE_PUBLICO_A</f>
        <v>Universidad de Guanajuato, Gobierno del Estado de Guanajuato (a)</v>
      </c>
      <c r="B2" s="156"/>
      <c r="C2" s="156"/>
      <c r="D2" s="156"/>
      <c r="E2" s="156"/>
      <c r="F2" s="156"/>
      <c r="G2" s="156"/>
      <c r="H2" s="157"/>
    </row>
    <row r="3" spans="1:9" x14ac:dyDescent="0.25">
      <c r="A3" s="158" t="s">
        <v>120</v>
      </c>
      <c r="B3" s="159"/>
      <c r="C3" s="159"/>
      <c r="D3" s="159"/>
      <c r="E3" s="159"/>
      <c r="F3" s="159"/>
      <c r="G3" s="159"/>
      <c r="H3" s="160"/>
    </row>
    <row r="4" spans="1:9" ht="14.25" x14ac:dyDescent="0.45">
      <c r="A4" s="161" t="str">
        <f>PERIODO_INFORME</f>
        <v>Al 31 de diciembre de 2019 y al 30 de marzo de 2020 (b)</v>
      </c>
      <c r="B4" s="162"/>
      <c r="C4" s="162"/>
      <c r="D4" s="162"/>
      <c r="E4" s="162"/>
      <c r="F4" s="162"/>
      <c r="G4" s="162"/>
      <c r="H4" s="163"/>
    </row>
    <row r="5" spans="1:9" ht="14.25" x14ac:dyDescent="0.45">
      <c r="A5" s="164" t="s">
        <v>118</v>
      </c>
      <c r="B5" s="165"/>
      <c r="C5" s="165"/>
      <c r="D5" s="165"/>
      <c r="E5" s="165"/>
      <c r="F5" s="165"/>
      <c r="G5" s="165"/>
      <c r="H5" s="166"/>
    </row>
    <row r="6" spans="1:9" ht="45" x14ac:dyDescent="0.25">
      <c r="A6" s="101" t="s">
        <v>121</v>
      </c>
      <c r="B6" s="102" t="str">
        <f>ULTIMO_SALDO</f>
        <v>Saldo al 31 de diciembre de 2019 (d)</v>
      </c>
      <c r="C6" s="101" t="s">
        <v>122</v>
      </c>
      <c r="D6" s="101" t="s">
        <v>123</v>
      </c>
      <c r="E6" s="101" t="s">
        <v>124</v>
      </c>
      <c r="F6" s="101" t="s">
        <v>138</v>
      </c>
      <c r="G6" s="101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3" t="s">
        <v>127</v>
      </c>
      <c r="B8" s="144">
        <f>B9+B13</f>
        <v>0</v>
      </c>
      <c r="C8" s="144">
        <f t="shared" ref="C8:H8" si="0">C9+C13</f>
        <v>0</v>
      </c>
      <c r="D8" s="144">
        <f t="shared" si="0"/>
        <v>0</v>
      </c>
      <c r="E8" s="144">
        <f t="shared" si="0"/>
        <v>0</v>
      </c>
      <c r="F8" s="144">
        <f t="shared" si="0"/>
        <v>0</v>
      </c>
      <c r="G8" s="144">
        <f t="shared" si="0"/>
        <v>0</v>
      </c>
      <c r="H8" s="144">
        <f t="shared" si="0"/>
        <v>0</v>
      </c>
    </row>
    <row r="9" spans="1:9" x14ac:dyDescent="0.25">
      <c r="A9" s="104" t="s">
        <v>128</v>
      </c>
      <c r="B9" s="145">
        <f>SUM(B10:B12)</f>
        <v>0</v>
      </c>
      <c r="C9" s="145">
        <f t="shared" ref="C9:H9" si="1">SUM(C10:C12)</f>
        <v>0</v>
      </c>
      <c r="D9" s="145">
        <f t="shared" si="1"/>
        <v>0</v>
      </c>
      <c r="E9" s="145">
        <f t="shared" si="1"/>
        <v>0</v>
      </c>
      <c r="F9" s="145">
        <f t="shared" si="1"/>
        <v>0</v>
      </c>
      <c r="G9" s="145">
        <f t="shared" si="1"/>
        <v>0</v>
      </c>
      <c r="H9" s="145">
        <f t="shared" si="1"/>
        <v>0</v>
      </c>
    </row>
    <row r="10" spans="1:9" x14ac:dyDescent="0.25">
      <c r="A10" s="105" t="s">
        <v>129</v>
      </c>
      <c r="B10" s="145">
        <v>0</v>
      </c>
      <c r="C10" s="145">
        <v>0</v>
      </c>
      <c r="D10" s="145">
        <v>0</v>
      </c>
      <c r="E10" s="145">
        <v>0</v>
      </c>
      <c r="F10" s="145">
        <v>0</v>
      </c>
      <c r="G10" s="145">
        <v>0</v>
      </c>
      <c r="H10" s="145">
        <v>0</v>
      </c>
    </row>
    <row r="11" spans="1:9" x14ac:dyDescent="0.25">
      <c r="A11" s="105" t="s">
        <v>130</v>
      </c>
      <c r="B11" s="145">
        <v>0</v>
      </c>
      <c r="C11" s="145">
        <v>0</v>
      </c>
      <c r="D11" s="145">
        <v>0</v>
      </c>
      <c r="E11" s="145">
        <v>0</v>
      </c>
      <c r="F11" s="145">
        <v>0</v>
      </c>
      <c r="G11" s="145">
        <v>0</v>
      </c>
      <c r="H11" s="145">
        <v>0</v>
      </c>
    </row>
    <row r="12" spans="1:9" x14ac:dyDescent="0.25">
      <c r="A12" s="105" t="s">
        <v>131</v>
      </c>
      <c r="B12" s="145">
        <v>0</v>
      </c>
      <c r="C12" s="145">
        <v>0</v>
      </c>
      <c r="D12" s="145">
        <v>0</v>
      </c>
      <c r="E12" s="145">
        <v>0</v>
      </c>
      <c r="F12" s="145">
        <v>0</v>
      </c>
      <c r="G12" s="145">
        <v>0</v>
      </c>
      <c r="H12" s="145">
        <v>0</v>
      </c>
    </row>
    <row r="13" spans="1:9" x14ac:dyDescent="0.25">
      <c r="A13" s="104" t="s">
        <v>132</v>
      </c>
      <c r="B13" s="145">
        <f>SUM(B14:B16)</f>
        <v>0</v>
      </c>
      <c r="C13" s="145">
        <f t="shared" ref="C13:H13" si="2">SUM(C14:C16)</f>
        <v>0</v>
      </c>
      <c r="D13" s="145">
        <f t="shared" si="2"/>
        <v>0</v>
      </c>
      <c r="E13" s="145">
        <f t="shared" si="2"/>
        <v>0</v>
      </c>
      <c r="F13" s="145">
        <f t="shared" si="2"/>
        <v>0</v>
      </c>
      <c r="G13" s="145">
        <f t="shared" si="2"/>
        <v>0</v>
      </c>
      <c r="H13" s="145">
        <f t="shared" si="2"/>
        <v>0</v>
      </c>
    </row>
    <row r="14" spans="1:9" x14ac:dyDescent="0.25">
      <c r="A14" s="105" t="s">
        <v>133</v>
      </c>
      <c r="B14" s="145">
        <v>0</v>
      </c>
      <c r="C14" s="145">
        <v>0</v>
      </c>
      <c r="D14" s="145">
        <v>0</v>
      </c>
      <c r="E14" s="145">
        <v>0</v>
      </c>
      <c r="F14" s="145">
        <v>0</v>
      </c>
      <c r="G14" s="145">
        <v>0</v>
      </c>
      <c r="H14" s="145">
        <v>0</v>
      </c>
    </row>
    <row r="15" spans="1:9" x14ac:dyDescent="0.25">
      <c r="A15" s="105" t="s">
        <v>134</v>
      </c>
      <c r="B15" s="145">
        <v>0</v>
      </c>
      <c r="C15" s="145">
        <v>0</v>
      </c>
      <c r="D15" s="145">
        <v>0</v>
      </c>
      <c r="E15" s="145">
        <v>0</v>
      </c>
      <c r="F15" s="145">
        <v>0</v>
      </c>
      <c r="G15" s="145">
        <v>0</v>
      </c>
      <c r="H15" s="145">
        <v>0</v>
      </c>
    </row>
    <row r="16" spans="1:9" x14ac:dyDescent="0.25">
      <c r="A16" s="105" t="s">
        <v>135</v>
      </c>
      <c r="B16" s="145">
        <v>0</v>
      </c>
      <c r="C16" s="145">
        <v>0</v>
      </c>
      <c r="D16" s="145">
        <v>0</v>
      </c>
      <c r="E16" s="145">
        <v>0</v>
      </c>
      <c r="F16" s="145">
        <v>0</v>
      </c>
      <c r="G16" s="145">
        <v>0</v>
      </c>
      <c r="H16" s="145">
        <v>0</v>
      </c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3" t="s">
        <v>136</v>
      </c>
      <c r="B18" s="61">
        <v>674183820</v>
      </c>
      <c r="C18" s="127"/>
      <c r="D18" s="127"/>
      <c r="E18" s="127"/>
      <c r="F18" s="61">
        <v>654982305</v>
      </c>
      <c r="G18" s="127"/>
      <c r="H18" s="127"/>
    </row>
    <row r="19" spans="1:8" ht="14.25" x14ac:dyDescent="0.45">
      <c r="A19" s="84"/>
      <c r="B19" s="5"/>
      <c r="C19" s="5"/>
      <c r="D19" s="5"/>
      <c r="E19" s="5"/>
      <c r="F19" s="5"/>
      <c r="G19" s="5"/>
      <c r="H19" s="5"/>
    </row>
    <row r="20" spans="1:8" x14ac:dyDescent="0.25">
      <c r="A20" s="103" t="s">
        <v>137</v>
      </c>
      <c r="B20" s="61">
        <f>B8+B18</f>
        <v>674183820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654982305</v>
      </c>
      <c r="G20" s="61">
        <f t="shared" si="3"/>
        <v>0</v>
      </c>
      <c r="H20" s="61">
        <f t="shared" si="3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3" t="s">
        <v>3296</v>
      </c>
      <c r="B22" s="144">
        <f>SUM(B23:DEUDA_CONT_FIN_01)</f>
        <v>0</v>
      </c>
      <c r="C22" s="144">
        <f>SUM(C23:DEUDA_CONT_FIN_02)</f>
        <v>0</v>
      </c>
      <c r="D22" s="144">
        <f>SUM(D23:DEUDA_CONT_FIN_03)</f>
        <v>0</v>
      </c>
      <c r="E22" s="144">
        <f>SUM(E23:DEUDA_CONT_FIN_04)</f>
        <v>0</v>
      </c>
      <c r="F22" s="144">
        <f>SUM(F23:DEUDA_CONT_FIN_05)</f>
        <v>0</v>
      </c>
      <c r="G22" s="144">
        <f>SUM(G23:DEUDA_CONT_FIN_06)</f>
        <v>0</v>
      </c>
      <c r="H22" s="144">
        <f>SUM(H23:DEUDA_CONT_FIN_07)</f>
        <v>0</v>
      </c>
    </row>
    <row r="23" spans="1:8" s="24" customFormat="1" x14ac:dyDescent="0.25">
      <c r="A23" s="106" t="s">
        <v>442</v>
      </c>
      <c r="B23" s="145">
        <v>0</v>
      </c>
      <c r="C23" s="145">
        <v>0</v>
      </c>
      <c r="D23" s="145">
        <v>0</v>
      </c>
      <c r="E23" s="145">
        <v>0</v>
      </c>
      <c r="F23" s="145">
        <v>0</v>
      </c>
      <c r="G23" s="145">
        <v>0</v>
      </c>
      <c r="H23" s="145">
        <v>0</v>
      </c>
    </row>
    <row r="24" spans="1:8" s="24" customFormat="1" x14ac:dyDescent="0.25">
      <c r="A24" s="106" t="s">
        <v>443</v>
      </c>
      <c r="B24" s="145">
        <v>0</v>
      </c>
      <c r="C24" s="145">
        <v>0</v>
      </c>
      <c r="D24" s="145">
        <v>0</v>
      </c>
      <c r="E24" s="145">
        <v>0</v>
      </c>
      <c r="F24" s="145">
        <v>0</v>
      </c>
      <c r="G24" s="145">
        <v>0</v>
      </c>
      <c r="H24" s="145">
        <v>0</v>
      </c>
    </row>
    <row r="25" spans="1:8" s="24" customFormat="1" x14ac:dyDescent="0.25">
      <c r="A25" s="106" t="s">
        <v>444</v>
      </c>
      <c r="B25" s="145">
        <v>0</v>
      </c>
      <c r="C25" s="145">
        <v>0</v>
      </c>
      <c r="D25" s="145">
        <v>0</v>
      </c>
      <c r="E25" s="145">
        <v>0</v>
      </c>
      <c r="F25" s="145">
        <v>0</v>
      </c>
      <c r="G25" s="145">
        <v>0</v>
      </c>
      <c r="H25" s="145">
        <v>0</v>
      </c>
    </row>
    <row r="26" spans="1:8" x14ac:dyDescent="0.25">
      <c r="A26" s="73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3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6" t="s">
        <v>445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6" t="s">
        <v>446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6" t="s">
        <v>447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07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87"/>
    </row>
    <row r="33" spans="1:8" ht="12" customHeight="1" x14ac:dyDescent="0.25">
      <c r="A33" s="168" t="s">
        <v>3300</v>
      </c>
      <c r="B33" s="168"/>
      <c r="C33" s="168"/>
      <c r="D33" s="168"/>
      <c r="E33" s="168"/>
      <c r="F33" s="168"/>
      <c r="G33" s="168"/>
      <c r="H33" s="168"/>
    </row>
    <row r="34" spans="1:8" ht="12" customHeight="1" x14ac:dyDescent="0.25">
      <c r="A34" s="168"/>
      <c r="B34" s="168"/>
      <c r="C34" s="168"/>
      <c r="D34" s="168"/>
      <c r="E34" s="168"/>
      <c r="F34" s="168"/>
      <c r="G34" s="168"/>
      <c r="H34" s="168"/>
    </row>
    <row r="35" spans="1:8" ht="12" customHeight="1" x14ac:dyDescent="0.25">
      <c r="A35" s="168"/>
      <c r="B35" s="168"/>
      <c r="C35" s="168"/>
      <c r="D35" s="168"/>
      <c r="E35" s="168"/>
      <c r="F35" s="168"/>
      <c r="G35" s="168"/>
      <c r="H35" s="168"/>
    </row>
    <row r="36" spans="1:8" ht="12" customHeight="1" x14ac:dyDescent="0.25">
      <c r="A36" s="168"/>
      <c r="B36" s="168"/>
      <c r="C36" s="168"/>
      <c r="D36" s="168"/>
      <c r="E36" s="168"/>
      <c r="F36" s="168"/>
      <c r="G36" s="168"/>
      <c r="H36" s="168"/>
    </row>
    <row r="37" spans="1:8" ht="12" customHeight="1" x14ac:dyDescent="0.25">
      <c r="A37" s="168"/>
      <c r="B37" s="168"/>
      <c r="C37" s="168"/>
      <c r="D37" s="168"/>
      <c r="E37" s="168"/>
      <c r="F37" s="168"/>
      <c r="G37" s="168"/>
      <c r="H37" s="168"/>
    </row>
    <row r="38" spans="1:8" x14ac:dyDescent="0.25">
      <c r="A38" s="87"/>
    </row>
    <row r="39" spans="1:8" ht="30" x14ac:dyDescent="0.25">
      <c r="A39" s="101" t="s">
        <v>139</v>
      </c>
      <c r="B39" s="101" t="s">
        <v>142</v>
      </c>
      <c r="C39" s="101" t="s">
        <v>143</v>
      </c>
      <c r="D39" s="101" t="s">
        <v>144</v>
      </c>
      <c r="E39" s="101" t="s">
        <v>140</v>
      </c>
      <c r="F39" s="45" t="s">
        <v>145</v>
      </c>
    </row>
    <row r="40" spans="1:8" x14ac:dyDescent="0.25">
      <c r="A40" s="84"/>
      <c r="B40" s="5"/>
      <c r="C40" s="5"/>
      <c r="D40" s="5"/>
      <c r="E40" s="5"/>
      <c r="F40" s="5"/>
    </row>
    <row r="41" spans="1:8" x14ac:dyDescent="0.25">
      <c r="A41" s="103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6" t="s">
        <v>448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6" t="s">
        <v>449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6" t="s">
        <v>450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00000000-0002-0000-0500-000000000000}"/>
    <dataValidation type="decimal" allowBlank="1" showInputMessage="1" showErrorMessage="1" sqref="B8:H30" xr:uid="{00000000-0002-0000-05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674183820</v>
      </c>
      <c r="Q12" s="18"/>
      <c r="R12" s="18"/>
      <c r="S12" s="18"/>
      <c r="T12" s="18">
        <f>'Formato 2'!F18</f>
        <v>654982305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674183820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654982305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/>
  <dimension ref="A1:L21"/>
  <sheetViews>
    <sheetView showGridLines="0" zoomScale="90" zoomScaleNormal="90" workbookViewId="0">
      <selection sqref="A1:K1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88" customFormat="1" ht="37.5" customHeight="1" x14ac:dyDescent="0.25">
      <c r="A1" s="167" t="s">
        <v>543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08"/>
    </row>
    <row r="2" spans="1:12" ht="14.25" x14ac:dyDescent="0.45">
      <c r="A2" s="155" t="str">
        <f>ENTE_PUBLICO_A</f>
        <v>Universidad de Guanajuato, Gobierno del Estado de Guanajuato (a)</v>
      </c>
      <c r="B2" s="156"/>
      <c r="C2" s="156"/>
      <c r="D2" s="156"/>
      <c r="E2" s="156"/>
      <c r="F2" s="156"/>
      <c r="G2" s="156"/>
      <c r="H2" s="156"/>
      <c r="I2" s="156"/>
      <c r="J2" s="156"/>
      <c r="K2" s="157"/>
    </row>
    <row r="3" spans="1:12" x14ac:dyDescent="0.25">
      <c r="A3" s="158" t="s">
        <v>146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2" ht="14.25" x14ac:dyDescent="0.45">
      <c r="A4" s="161" t="str">
        <f>TRIMESTRE</f>
        <v>Del 1 de enero al 30 de marzo de 2020 (b)</v>
      </c>
      <c r="B4" s="162"/>
      <c r="C4" s="162"/>
      <c r="D4" s="162"/>
      <c r="E4" s="162"/>
      <c r="F4" s="162"/>
      <c r="G4" s="162"/>
      <c r="H4" s="162"/>
      <c r="I4" s="162"/>
      <c r="J4" s="162"/>
      <c r="K4" s="163"/>
    </row>
    <row r="5" spans="1:12" ht="14.25" x14ac:dyDescent="0.45">
      <c r="A5" s="158" t="s">
        <v>118</v>
      </c>
      <c r="B5" s="159"/>
      <c r="C5" s="159"/>
      <c r="D5" s="159"/>
      <c r="E5" s="159"/>
      <c r="F5" s="159"/>
      <c r="G5" s="159"/>
      <c r="H5" s="159"/>
      <c r="I5" s="159"/>
      <c r="J5" s="159"/>
      <c r="K5" s="160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26" t="str">
        <f>MONTO1</f>
        <v>Monto pagado de la inversión al 30 de marzo de 2020 (k)</v>
      </c>
      <c r="J6" s="126" t="str">
        <f>MONTO2</f>
        <v>Monto pagado de la inversión actualizado al 30 de marzo de 2020 (l)</v>
      </c>
      <c r="K6" s="126" t="str">
        <f>SALDO_PENDIENTE</f>
        <v>Saldo pendiente por pagar de la inversión al 30 de marzo de 2020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4"/>
      <c r="C8" s="124"/>
      <c r="D8" s="124"/>
      <c r="E8" s="61">
        <f>SUM(E9:APP_FIN_04)</f>
        <v>0</v>
      </c>
      <c r="F8" s="124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1" t="s">
        <v>156</v>
      </c>
      <c r="B9" s="109">
        <v>42755</v>
      </c>
      <c r="C9" s="109">
        <v>42755</v>
      </c>
      <c r="D9" s="109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ht="14.25" x14ac:dyDescent="0.45">
      <c r="A10" s="111" t="s">
        <v>157</v>
      </c>
      <c r="B10" s="109">
        <v>42755</v>
      </c>
      <c r="C10" s="109">
        <v>42755</v>
      </c>
      <c r="D10" s="109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ht="14.25" x14ac:dyDescent="0.45">
      <c r="A11" s="111" t="s">
        <v>158</v>
      </c>
      <c r="B11" s="109">
        <v>42755</v>
      </c>
      <c r="C11" s="109">
        <v>42755</v>
      </c>
      <c r="D11" s="109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ht="14.25" x14ac:dyDescent="0.45">
      <c r="A12" s="111" t="s">
        <v>159</v>
      </c>
      <c r="B12" s="109">
        <v>42755</v>
      </c>
      <c r="C12" s="109">
        <v>42755</v>
      </c>
      <c r="D12" s="109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ht="14.25" x14ac:dyDescent="0.45">
      <c r="A13" s="112" t="s">
        <v>686</v>
      </c>
      <c r="B13" s="110"/>
      <c r="C13" s="110"/>
      <c r="D13" s="110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4"/>
      <c r="C14" s="124"/>
      <c r="D14" s="124"/>
      <c r="E14" s="61">
        <f>SUM(E15:OTROS_FIN_04)</f>
        <v>0</v>
      </c>
      <c r="F14" s="124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1" t="s">
        <v>161</v>
      </c>
      <c r="B15" s="109">
        <v>42755</v>
      </c>
      <c r="C15" s="109">
        <v>42755</v>
      </c>
      <c r="D15" s="109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ht="14.25" x14ac:dyDescent="0.45">
      <c r="A16" s="111" t="s">
        <v>162</v>
      </c>
      <c r="B16" s="109">
        <v>42755</v>
      </c>
      <c r="C16" s="109">
        <v>42755</v>
      </c>
      <c r="D16" s="109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ht="14.25" x14ac:dyDescent="0.45">
      <c r="A17" s="111" t="s">
        <v>163</v>
      </c>
      <c r="B17" s="109">
        <v>42755</v>
      </c>
      <c r="C17" s="109">
        <v>42755</v>
      </c>
      <c r="D17" s="109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ht="14.25" x14ac:dyDescent="0.45">
      <c r="A18" s="111" t="s">
        <v>164</v>
      </c>
      <c r="B18" s="109">
        <v>42755</v>
      </c>
      <c r="C18" s="109">
        <v>42755</v>
      </c>
      <c r="D18" s="109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ht="14.25" x14ac:dyDescent="0.45">
      <c r="A19" s="112" t="s">
        <v>686</v>
      </c>
      <c r="B19" s="110"/>
      <c r="C19" s="110"/>
      <c r="D19" s="110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4"/>
      <c r="C20" s="124"/>
      <c r="D20" s="124"/>
      <c r="E20" s="61">
        <f>APP_T4+OTROS_T4</f>
        <v>0</v>
      </c>
      <c r="F20" s="124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 xr:uid="{00000000-0002-0000-0700-000000000000}"/>
    <dataValidation allowBlank="1" showInputMessage="1" showErrorMessage="1" prompt="Monto pagado de la inversión actualizado al XX de XXXX de 20XN (k)" sqref="J6" xr:uid="{00000000-0002-0000-0700-000001000000}"/>
    <dataValidation allowBlank="1" showInputMessage="1" showErrorMessage="1" prompt="Saldo pendiente por pagar de la inversión al XX de XXXX de 20XN (m = g - l)" sqref="K6" xr:uid="{00000000-0002-0000-0700-000002000000}"/>
    <dataValidation type="decimal" allowBlank="1" showInputMessage="1" showErrorMessage="1" sqref="E8:K20" xr:uid="{00000000-0002-0000-0700-000003000000}">
      <formula1>-1.79769313486231E+100</formula1>
      <formula2>1.79769313486231E+100</formula2>
    </dataValidation>
    <dataValidation type="date" operator="greaterThanOrEqual" allowBlank="1" showInputMessage="1" showErrorMessage="1" sqref="B9:D12 B15:D18" xr:uid="{00000000-0002-0000-0700-000004000000}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DSTI09</cp:lastModifiedBy>
  <cp:lastPrinted>2017-02-04T00:56:20Z</cp:lastPrinted>
  <dcterms:created xsi:type="dcterms:W3CDTF">2017-01-19T17:59:06Z</dcterms:created>
  <dcterms:modified xsi:type="dcterms:W3CDTF">2020-07-30T15:24:27Z</dcterms:modified>
</cp:coreProperties>
</file>