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.P. David Hernández\Documents\2018\ASEG\Informes trimestrales\4to trim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132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_xlnm.Print_Area" localSheetId="5">'Formato 2'!$A$1:$H$37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3" l="1"/>
  <c r="K10" i="3"/>
  <c r="K11" i="3"/>
  <c r="K12" i="3"/>
  <c r="G71" i="8" l="1"/>
  <c r="B71" i="8"/>
  <c r="C71" i="8"/>
  <c r="D71" i="8"/>
  <c r="E71" i="8"/>
  <c r="F71" i="8"/>
  <c r="G18" i="8"/>
  <c r="G17" i="8"/>
  <c r="G16" i="8"/>
  <c r="G15" i="8"/>
  <c r="G14" i="8"/>
  <c r="G13" i="8"/>
  <c r="G12" i="8"/>
  <c r="G11" i="8"/>
  <c r="G93" i="6"/>
  <c r="B93" i="6"/>
  <c r="C93" i="6"/>
  <c r="D93" i="6"/>
  <c r="E93" i="6"/>
  <c r="F93" i="6"/>
  <c r="B67" i="5" l="1"/>
  <c r="G17" i="5"/>
  <c r="F15" i="2" l="1"/>
  <c r="F16" i="2"/>
  <c r="F14" i="2"/>
  <c r="F11" i="2"/>
  <c r="F12" i="2"/>
  <c r="F10" i="2"/>
  <c r="C137" i="6" l="1"/>
  <c r="D137" i="6"/>
  <c r="E137" i="6"/>
  <c r="F137" i="6"/>
  <c r="B137" i="6"/>
  <c r="C62" i="6"/>
  <c r="D62" i="6"/>
  <c r="R55" i="24" s="1"/>
  <c r="E62" i="6"/>
  <c r="F62" i="6"/>
  <c r="B62" i="6"/>
  <c r="B8" i="10"/>
  <c r="P2" i="28" s="1"/>
  <c r="C6" i="23"/>
  <c r="C7" i="23" s="1"/>
  <c r="B9" i="1"/>
  <c r="H25" i="23"/>
  <c r="G25" i="23"/>
  <c r="F25" i="23"/>
  <c r="E25" i="23"/>
  <c r="D25" i="23"/>
  <c r="G30" i="9"/>
  <c r="G31" i="9"/>
  <c r="G29" i="9"/>
  <c r="G26" i="9"/>
  <c r="G27" i="9"/>
  <c r="U19" i="27" s="1"/>
  <c r="G25" i="9"/>
  <c r="G23" i="9"/>
  <c r="G22" i="9"/>
  <c r="G19" i="9"/>
  <c r="U12" i="27" s="1"/>
  <c r="G18" i="9"/>
  <c r="G17" i="9"/>
  <c r="G14" i="9"/>
  <c r="G15" i="9"/>
  <c r="G13" i="9"/>
  <c r="G12" i="9" s="1"/>
  <c r="U5" i="27" s="1"/>
  <c r="G11" i="9"/>
  <c r="U4" i="27" s="1"/>
  <c r="G10" i="9"/>
  <c r="G10" i="8"/>
  <c r="G19" i="8"/>
  <c r="U12" i="26" s="1"/>
  <c r="G27" i="8"/>
  <c r="U20" i="26" s="1"/>
  <c r="G37" i="8"/>
  <c r="U30" i="26" s="1"/>
  <c r="G21" i="7"/>
  <c r="G22" i="7"/>
  <c r="G23" i="7"/>
  <c r="G19" i="7" s="1"/>
  <c r="U3" i="25" s="1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P21" i="24" s="1"/>
  <c r="B38" i="6"/>
  <c r="P31" i="24" s="1"/>
  <c r="B48" i="6"/>
  <c r="B58" i="6"/>
  <c r="B71" i="6"/>
  <c r="P64" i="24" s="1"/>
  <c r="B75" i="6"/>
  <c r="G137" i="6"/>
  <c r="G62" i="6"/>
  <c r="U55" i="24" s="1"/>
  <c r="G18" i="6"/>
  <c r="B7" i="13"/>
  <c r="G10" i="6"/>
  <c r="U3" i="24" s="1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U25" i="20" s="1"/>
  <c r="G32" i="5"/>
  <c r="G33" i="5"/>
  <c r="G34" i="5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 s="1"/>
  <c r="D18" i="13"/>
  <c r="R12" i="31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C29" i="13" s="1"/>
  <c r="Q22" i="31" s="1"/>
  <c r="D7" i="13"/>
  <c r="D29" i="13" s="1"/>
  <c r="R22" i="31" s="1"/>
  <c r="E7" i="13"/>
  <c r="F7" i="13"/>
  <c r="F29" i="13" s="1"/>
  <c r="T22" i="31" s="1"/>
  <c r="G7" i="13"/>
  <c r="U2" i="31" s="1"/>
  <c r="Q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D31" i="12" s="1"/>
  <c r="R23" i="30" s="1"/>
  <c r="E7" i="12"/>
  <c r="F7" i="12"/>
  <c r="G7" i="12"/>
  <c r="G31" i="12" s="1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/>
  <c r="D36" i="12"/>
  <c r="R27" i="30" s="1"/>
  <c r="E36" i="12"/>
  <c r="S27" i="30"/>
  <c r="F36" i="12"/>
  <c r="T27" i="30" s="1"/>
  <c r="G36" i="12"/>
  <c r="U27" i="30" s="1"/>
  <c r="S2" i="30"/>
  <c r="T2" i="30"/>
  <c r="U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C30" i="11" s="1"/>
  <c r="Q22" i="29" s="1"/>
  <c r="D8" i="11"/>
  <c r="D30" i="11" s="1"/>
  <c r="R22" i="29" s="1"/>
  <c r="E8" i="11"/>
  <c r="E30" i="11"/>
  <c r="S22" i="29" s="1"/>
  <c r="F8" i="11"/>
  <c r="F30" i="11" s="1"/>
  <c r="T22" i="29" s="1"/>
  <c r="G8" i="11"/>
  <c r="R2" i="29"/>
  <c r="S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E29" i="10"/>
  <c r="S21" i="28" s="1"/>
  <c r="F29" i="10"/>
  <c r="F32" i="10" s="1"/>
  <c r="T23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 s="1"/>
  <c r="E37" i="10"/>
  <c r="S27" i="28"/>
  <c r="F37" i="10"/>
  <c r="T27" i="28" s="1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 s="1"/>
  <c r="Q2" i="27" s="1"/>
  <c r="D12" i="9"/>
  <c r="R5" i="27" s="1"/>
  <c r="D16" i="9"/>
  <c r="E12" i="9"/>
  <c r="E16" i="9"/>
  <c r="S9" i="27" s="1"/>
  <c r="F12" i="9"/>
  <c r="F16" i="9"/>
  <c r="Q3" i="27"/>
  <c r="R3" i="27"/>
  <c r="S3" i="27"/>
  <c r="T3" i="27"/>
  <c r="U3" i="27"/>
  <c r="Q4" i="27"/>
  <c r="R4" i="27"/>
  <c r="S4" i="27"/>
  <c r="T4" i="27"/>
  <c r="Q5" i="27"/>
  <c r="S5" i="27"/>
  <c r="T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U8" i="27"/>
  <c r="R9" i="27"/>
  <c r="T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C24" i="9"/>
  <c r="C21" i="9" s="1"/>
  <c r="C28" i="9"/>
  <c r="D24" i="9"/>
  <c r="D28" i="9"/>
  <c r="R20" i="27" s="1"/>
  <c r="E24" i="9"/>
  <c r="E21" i="9" s="1"/>
  <c r="E28" i="9"/>
  <c r="F24" i="9"/>
  <c r="F28" i="9"/>
  <c r="T20" i="27" s="1"/>
  <c r="G24" i="9"/>
  <c r="Q14" i="27"/>
  <c r="R14" i="27"/>
  <c r="S14" i="27"/>
  <c r="T14" i="27"/>
  <c r="U14" i="27"/>
  <c r="Q15" i="27"/>
  <c r="R15" i="27"/>
  <c r="S15" i="27"/>
  <c r="T15" i="27"/>
  <c r="U15" i="27"/>
  <c r="Q16" i="27"/>
  <c r="R16" i="27"/>
  <c r="T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Q20" i="27"/>
  <c r="S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B9" i="9" s="1"/>
  <c r="P2" i="27" s="1"/>
  <c r="P9" i="27"/>
  <c r="P10" i="27"/>
  <c r="P11" i="27"/>
  <c r="P12" i="27"/>
  <c r="B24" i="9"/>
  <c r="B21" i="9" s="1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Q12" i="26" s="1"/>
  <c r="C27" i="8"/>
  <c r="C37" i="8"/>
  <c r="D10" i="8"/>
  <c r="R3" i="26" s="1"/>
  <c r="D19" i="8"/>
  <c r="R12" i="26" s="1"/>
  <c r="D27" i="8"/>
  <c r="D37" i="8"/>
  <c r="E10" i="8"/>
  <c r="E19" i="8"/>
  <c r="S12" i="26" s="1"/>
  <c r="E27" i="8"/>
  <c r="S20" i="26" s="1"/>
  <c r="E37" i="8"/>
  <c r="F10" i="8"/>
  <c r="F19" i="8"/>
  <c r="F9" i="8" s="1"/>
  <c r="T2" i="26" s="1"/>
  <c r="F27" i="8"/>
  <c r="T20" i="26" s="1"/>
  <c r="F37" i="8"/>
  <c r="S3" i="26"/>
  <c r="T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Q36" i="26" s="1"/>
  <c r="C53" i="8"/>
  <c r="Q45" i="26" s="1"/>
  <c r="C61" i="8"/>
  <c r="D44" i="8"/>
  <c r="R36" i="26" s="1"/>
  <c r="D53" i="8"/>
  <c r="D61" i="8"/>
  <c r="R53" i="26" s="1"/>
  <c r="E44" i="8"/>
  <c r="S36" i="26" s="1"/>
  <c r="E53" i="8"/>
  <c r="S45" i="26" s="1"/>
  <c r="E61" i="8"/>
  <c r="S53" i="26" s="1"/>
  <c r="F44" i="8"/>
  <c r="T36" i="26" s="1"/>
  <c r="F53" i="8"/>
  <c r="F61" i="8"/>
  <c r="G44" i="8"/>
  <c r="U36" i="26" s="1"/>
  <c r="G53" i="8"/>
  <c r="U45" i="26" s="1"/>
  <c r="G61" i="8"/>
  <c r="U53" i="26" s="1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P45" i="26" s="1"/>
  <c r="B61" i="8"/>
  <c r="P53" i="26" s="1"/>
  <c r="B10" i="8"/>
  <c r="P3" i="26" s="1"/>
  <c r="B19" i="8"/>
  <c r="P12" i="26" s="1"/>
  <c r="B27" i="8"/>
  <c r="P20" i="26" s="1"/>
  <c r="B37" i="8"/>
  <c r="P36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F9" i="7"/>
  <c r="T2" i="25" s="1"/>
  <c r="F19" i="7"/>
  <c r="T3" i="25" s="1"/>
  <c r="E9" i="7"/>
  <c r="E19" i="7"/>
  <c r="S3" i="25" s="1"/>
  <c r="D9" i="7"/>
  <c r="D19" i="7"/>
  <c r="R3" i="25" s="1"/>
  <c r="C9" i="7"/>
  <c r="Q2" i="25" s="1"/>
  <c r="C19" i="7"/>
  <c r="Q3" i="25" s="1"/>
  <c r="B9" i="7"/>
  <c r="B19" i="7"/>
  <c r="P3" i="25" s="1"/>
  <c r="A3" i="25"/>
  <c r="A4" i="25"/>
  <c r="A2" i="25"/>
  <c r="A87" i="24"/>
  <c r="C85" i="6"/>
  <c r="C103" i="6"/>
  <c r="C113" i="6"/>
  <c r="C123" i="6"/>
  <c r="C133" i="6"/>
  <c r="Q125" i="24" s="1"/>
  <c r="C146" i="6"/>
  <c r="C150" i="6"/>
  <c r="D85" i="6"/>
  <c r="D103" i="6"/>
  <c r="D113" i="6"/>
  <c r="R105" i="24" s="1"/>
  <c r="D123" i="6"/>
  <c r="D133" i="6"/>
  <c r="D146" i="6"/>
  <c r="D150" i="6"/>
  <c r="E85" i="6"/>
  <c r="S77" i="24" s="1"/>
  <c r="E103" i="6"/>
  <c r="S95" i="24" s="1"/>
  <c r="E113" i="6"/>
  <c r="S105" i="24" s="1"/>
  <c r="E123" i="6"/>
  <c r="S115" i="24" s="1"/>
  <c r="E133" i="6"/>
  <c r="E146" i="6"/>
  <c r="E150" i="6"/>
  <c r="F85" i="6"/>
  <c r="T77" i="24" s="1"/>
  <c r="F103" i="6"/>
  <c r="T95" i="24" s="1"/>
  <c r="F113" i="6"/>
  <c r="F123" i="6"/>
  <c r="F133" i="6"/>
  <c r="F146" i="6"/>
  <c r="T138" i="24" s="1"/>
  <c r="F150" i="6"/>
  <c r="G85" i="6"/>
  <c r="U77" i="24" s="1"/>
  <c r="G103" i="6"/>
  <c r="G113" i="6"/>
  <c r="G123" i="6"/>
  <c r="G133" i="6"/>
  <c r="U125" i="24" s="1"/>
  <c r="G146" i="6"/>
  <c r="G150" i="6"/>
  <c r="Q77" i="24"/>
  <c r="R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R125" i="24"/>
  <c r="S125" i="24"/>
  <c r="T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Q21" i="24" s="1"/>
  <c r="C38" i="6"/>
  <c r="C48" i="6"/>
  <c r="Q41" i="24" s="1"/>
  <c r="C58" i="6"/>
  <c r="C71" i="6"/>
  <c r="C75" i="6"/>
  <c r="D10" i="6"/>
  <c r="D18" i="6"/>
  <c r="R11" i="24" s="1"/>
  <c r="D28" i="6"/>
  <c r="R21" i="24" s="1"/>
  <c r="D38" i="6"/>
  <c r="R31" i="24" s="1"/>
  <c r="D48" i="6"/>
  <c r="R41" i="24" s="1"/>
  <c r="D58" i="6"/>
  <c r="D71" i="6"/>
  <c r="R64" i="24" s="1"/>
  <c r="D75" i="6"/>
  <c r="E10" i="6"/>
  <c r="S3" i="24" s="1"/>
  <c r="E18" i="6"/>
  <c r="E28" i="6"/>
  <c r="E38" i="6"/>
  <c r="S31" i="24" s="1"/>
  <c r="E48" i="6"/>
  <c r="S41" i="24" s="1"/>
  <c r="E58" i="6"/>
  <c r="E71" i="6"/>
  <c r="S64" i="24" s="1"/>
  <c r="E75" i="6"/>
  <c r="F10" i="6"/>
  <c r="T3" i="24" s="1"/>
  <c r="F18" i="6"/>
  <c r="F28" i="6"/>
  <c r="T21" i="24" s="1"/>
  <c r="F38" i="6"/>
  <c r="T31" i="24" s="1"/>
  <c r="F48" i="6"/>
  <c r="T41" i="24" s="1"/>
  <c r="F58" i="6"/>
  <c r="F71" i="6"/>
  <c r="T64" i="24" s="1"/>
  <c r="F75" i="6"/>
  <c r="G28" i="6"/>
  <c r="G38" i="6"/>
  <c r="G48" i="6"/>
  <c r="G58" i="6"/>
  <c r="U51" i="24" s="1"/>
  <c r="G71" i="6"/>
  <c r="G75" i="6"/>
  <c r="B85" i="6"/>
  <c r="B103" i="6"/>
  <c r="P95" i="24" s="1"/>
  <c r="B113" i="6"/>
  <c r="P105" i="24" s="1"/>
  <c r="B123" i="6"/>
  <c r="P115" i="24" s="1"/>
  <c r="B133" i="6"/>
  <c r="B146" i="6"/>
  <c r="P138" i="24" s="1"/>
  <c r="B150" i="6"/>
  <c r="P142" i="24" s="1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S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6" i="20"/>
  <c r="U27" i="20"/>
  <c r="U28" i="20"/>
  <c r="U30" i="20"/>
  <c r="U32" i="20"/>
  <c r="U33" i="20"/>
  <c r="G46" i="5"/>
  <c r="G47" i="5"/>
  <c r="G48" i="5"/>
  <c r="G49" i="5"/>
  <c r="G50" i="5"/>
  <c r="U42" i="20" s="1"/>
  <c r="G51" i="5"/>
  <c r="G45" i="5" s="1"/>
  <c r="U37" i="20" s="1"/>
  <c r="G52" i="5"/>
  <c r="G53" i="5"/>
  <c r="U38" i="20"/>
  <c r="U39" i="20"/>
  <c r="U40" i="20"/>
  <c r="U41" i="20"/>
  <c r="U43" i="20"/>
  <c r="U44" i="20"/>
  <c r="U45" i="20"/>
  <c r="G55" i="5"/>
  <c r="G56" i="5"/>
  <c r="G57" i="5"/>
  <c r="G58" i="5"/>
  <c r="U47" i="20"/>
  <c r="U48" i="20"/>
  <c r="U49" i="20"/>
  <c r="U50" i="20"/>
  <c r="G60" i="5"/>
  <c r="U52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C67" i="5"/>
  <c r="Q57" i="20" s="1"/>
  <c r="D67" i="5"/>
  <c r="R57" i="20" s="1"/>
  <c r="E67" i="5"/>
  <c r="S57" i="20" s="1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B35" i="5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B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1" s="1"/>
  <c r="E23" i="23"/>
  <c r="C6" i="11" s="1"/>
  <c r="G6" i="10"/>
  <c r="E6" i="10"/>
  <c r="D6" i="10"/>
  <c r="G5" i="13"/>
  <c r="G5" i="12"/>
  <c r="C11" i="23"/>
  <c r="A2" i="13" s="1"/>
  <c r="A2" i="14"/>
  <c r="A5" i="9"/>
  <c r="A5" i="8"/>
  <c r="A5" i="7"/>
  <c r="A5" i="6"/>
  <c r="A4" i="5"/>
  <c r="A4" i="4"/>
  <c r="A4" i="3"/>
  <c r="A4" i="2"/>
  <c r="A4" i="1"/>
  <c r="K15" i="3"/>
  <c r="K16" i="3"/>
  <c r="K14" i="3" s="1"/>
  <c r="Y4" i="17" s="1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J8" i="3"/>
  <c r="H8" i="3"/>
  <c r="H20" i="3" s="1"/>
  <c r="V5" i="17" s="1"/>
  <c r="G8" i="3"/>
  <c r="U3" i="17" s="1"/>
  <c r="E8" i="3"/>
  <c r="E20" i="3" s="1"/>
  <c r="S5" i="17" s="1"/>
  <c r="F41" i="2"/>
  <c r="T17" i="16" s="1"/>
  <c r="E41" i="2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H22" i="2"/>
  <c r="V14" i="16" s="1"/>
  <c r="G22" i="2"/>
  <c r="U14" i="16" s="1"/>
  <c r="F22" i="2"/>
  <c r="E22" i="2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P33" i="18" s="1"/>
  <c r="B63" i="4"/>
  <c r="B55" i="4"/>
  <c r="B53" i="4"/>
  <c r="P30" i="18" s="1"/>
  <c r="B49" i="4"/>
  <c r="B48" i="4"/>
  <c r="B37" i="4"/>
  <c r="B29" i="4"/>
  <c r="P15" i="18" s="1"/>
  <c r="B17" i="4"/>
  <c r="B13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27" i="18"/>
  <c r="P28" i="18"/>
  <c r="P29" i="18"/>
  <c r="P20" i="18"/>
  <c r="P21" i="18"/>
  <c r="P23" i="18"/>
  <c r="P24" i="18"/>
  <c r="P16" i="18"/>
  <c r="P17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F9" i="1"/>
  <c r="Q57" i="15" s="1"/>
  <c r="F23" i="1"/>
  <c r="F27" i="1"/>
  <c r="Q76" i="15" s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E23" i="1"/>
  <c r="E27" i="1"/>
  <c r="P76" i="15" s="1"/>
  <c r="E31" i="1"/>
  <c r="P80" i="15" s="1"/>
  <c r="E38" i="1"/>
  <c r="P87" i="15" s="1"/>
  <c r="E42" i="1"/>
  <c r="P91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P45" i="15"/>
  <c r="Q45" i="15"/>
  <c r="P46" i="15"/>
  <c r="Q46" i="15"/>
  <c r="P48" i="15"/>
  <c r="Q48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5"/>
  <c r="C70" i="4"/>
  <c r="D70" i="4"/>
  <c r="R37" i="18" s="1"/>
  <c r="C68" i="4"/>
  <c r="Q36" i="18" s="1"/>
  <c r="D68" i="4"/>
  <c r="R36" i="18" s="1"/>
  <c r="C64" i="4"/>
  <c r="D64" i="4"/>
  <c r="R33" i="18" s="1"/>
  <c r="C63" i="4"/>
  <c r="D63" i="4"/>
  <c r="C48" i="4"/>
  <c r="C55" i="4"/>
  <c r="D55" i="4"/>
  <c r="R31" i="18" s="1"/>
  <c r="C53" i="4"/>
  <c r="D53" i="4"/>
  <c r="D48" i="4"/>
  <c r="C49" i="4"/>
  <c r="Q27" i="18" s="1"/>
  <c r="D49" i="4"/>
  <c r="C29" i="4"/>
  <c r="Q15" i="18" s="1"/>
  <c r="D29" i="4"/>
  <c r="C40" i="4"/>
  <c r="D40" i="4"/>
  <c r="R22" i="18" s="1"/>
  <c r="C37" i="4"/>
  <c r="D37" i="4"/>
  <c r="R19" i="18" s="1"/>
  <c r="C17" i="4"/>
  <c r="Q9" i="18" s="1"/>
  <c r="C13" i="4"/>
  <c r="Q6" i="18" s="1"/>
  <c r="D13" i="4"/>
  <c r="S17" i="16"/>
  <c r="P15" i="16"/>
  <c r="C13" i="2"/>
  <c r="Q8" i="16"/>
  <c r="D13" i="2"/>
  <c r="R8" i="16" s="1"/>
  <c r="E13" i="2"/>
  <c r="S8" i="16"/>
  <c r="F13" i="2"/>
  <c r="T8" i="16" s="1"/>
  <c r="G13" i="2"/>
  <c r="U8" i="16" s="1"/>
  <c r="H13" i="2"/>
  <c r="V8" i="16" s="1"/>
  <c r="B13" i="2"/>
  <c r="P8" i="16" s="1"/>
  <c r="C9" i="2"/>
  <c r="Q4" i="16" s="1"/>
  <c r="D9" i="2"/>
  <c r="E9" i="2"/>
  <c r="E8" i="2" s="1"/>
  <c r="E20" i="2" s="1"/>
  <c r="S4" i="16"/>
  <c r="F9" i="2"/>
  <c r="G9" i="2"/>
  <c r="H9" i="2"/>
  <c r="B9" i="2"/>
  <c r="P4" i="16" s="1"/>
  <c r="P4" i="15"/>
  <c r="R27" i="18"/>
  <c r="Q30" i="18"/>
  <c r="Q32" i="18"/>
  <c r="R15" i="18"/>
  <c r="R26" i="18"/>
  <c r="Q31" i="18"/>
  <c r="R6" i="18"/>
  <c r="Q19" i="18"/>
  <c r="R30" i="18"/>
  <c r="Q26" i="18"/>
  <c r="Q33" i="18"/>
  <c r="Q37" i="18"/>
  <c r="S14" i="16"/>
  <c r="T14" i="16"/>
  <c r="C8" i="2"/>
  <c r="C20" i="2" s="1"/>
  <c r="Q13" i="16" s="1"/>
  <c r="S13" i="16"/>
  <c r="S3" i="16"/>
  <c r="Q67" i="15"/>
  <c r="E31" i="12" l="1"/>
  <c r="S23" i="30" s="1"/>
  <c r="F31" i="12"/>
  <c r="T23" i="30" s="1"/>
  <c r="C31" i="12"/>
  <c r="Q23" i="30" s="1"/>
  <c r="B31" i="12"/>
  <c r="P23" i="30" s="1"/>
  <c r="R2" i="30"/>
  <c r="Q2" i="30"/>
  <c r="P2" i="30"/>
  <c r="D32" i="10"/>
  <c r="R23" i="28" s="1"/>
  <c r="G30" i="11"/>
  <c r="U22" i="29" s="1"/>
  <c r="T2" i="29"/>
  <c r="Q2" i="29"/>
  <c r="J20" i="3"/>
  <c r="X5" i="17" s="1"/>
  <c r="E29" i="13"/>
  <c r="S22" i="31" s="1"/>
  <c r="R2" i="31"/>
  <c r="S2" i="31"/>
  <c r="G29" i="13"/>
  <c r="U22" i="31" s="1"/>
  <c r="G28" i="9"/>
  <c r="U20" i="27" s="1"/>
  <c r="G21" i="9"/>
  <c r="U13" i="27" s="1"/>
  <c r="F21" i="9"/>
  <c r="D21" i="9"/>
  <c r="R13" i="27" s="1"/>
  <c r="S16" i="27"/>
  <c r="G16" i="9"/>
  <c r="U9" i="27" s="1"/>
  <c r="Q9" i="27"/>
  <c r="U6" i="27"/>
  <c r="F9" i="9"/>
  <c r="T2" i="27" s="1"/>
  <c r="D9" i="9"/>
  <c r="R2" i="27" s="1"/>
  <c r="G9" i="9"/>
  <c r="U2" i="27" s="1"/>
  <c r="F43" i="8"/>
  <c r="T35" i="26" s="1"/>
  <c r="D43" i="8"/>
  <c r="R35" i="26" s="1"/>
  <c r="T45" i="26"/>
  <c r="R45" i="26"/>
  <c r="B43" i="8"/>
  <c r="P35" i="26" s="1"/>
  <c r="G43" i="8"/>
  <c r="U35" i="26" s="1"/>
  <c r="C43" i="8"/>
  <c r="Q35" i="26" s="1"/>
  <c r="E43" i="8"/>
  <c r="S35" i="26" s="1"/>
  <c r="T12" i="26"/>
  <c r="D9" i="8"/>
  <c r="B9" i="8"/>
  <c r="P2" i="26" s="1"/>
  <c r="E9" i="8"/>
  <c r="S2" i="26" s="1"/>
  <c r="C9" i="8"/>
  <c r="Q2" i="26" s="1"/>
  <c r="E29" i="7"/>
  <c r="S4" i="25" s="1"/>
  <c r="G29" i="7"/>
  <c r="U4" i="25" s="1"/>
  <c r="S2" i="25"/>
  <c r="D84" i="6"/>
  <c r="R76" i="24" s="1"/>
  <c r="C84" i="6"/>
  <c r="Q76" i="24" s="1"/>
  <c r="B84" i="6"/>
  <c r="P76" i="24" s="1"/>
  <c r="P77" i="24"/>
  <c r="E84" i="6"/>
  <c r="S76" i="24" s="1"/>
  <c r="F84" i="6"/>
  <c r="T76" i="24" s="1"/>
  <c r="E9" i="6"/>
  <c r="C9" i="6"/>
  <c r="S11" i="24"/>
  <c r="Q11" i="24"/>
  <c r="D9" i="6"/>
  <c r="D159" i="6" s="1"/>
  <c r="R150" i="24" s="1"/>
  <c r="B9" i="6"/>
  <c r="P2" i="24" s="1"/>
  <c r="F9" i="6"/>
  <c r="T2" i="24" s="1"/>
  <c r="B29" i="7"/>
  <c r="P4" i="25" s="1"/>
  <c r="D29" i="7"/>
  <c r="R4" i="25" s="1"/>
  <c r="X3" i="17"/>
  <c r="U2" i="25"/>
  <c r="C72" i="4"/>
  <c r="C44" i="4"/>
  <c r="C11" i="4" s="1"/>
  <c r="F47" i="1"/>
  <c r="P37" i="15"/>
  <c r="B47" i="1"/>
  <c r="C47" i="1"/>
  <c r="U58" i="20"/>
  <c r="G54" i="5"/>
  <c r="U46" i="20" s="1"/>
  <c r="G59" i="5"/>
  <c r="G37" i="5"/>
  <c r="U31" i="20" s="1"/>
  <c r="G75" i="5"/>
  <c r="U62" i="20" s="1"/>
  <c r="B41" i="5"/>
  <c r="P34" i="20" s="1"/>
  <c r="E70" i="5"/>
  <c r="G28" i="5"/>
  <c r="U22" i="20" s="1"/>
  <c r="D70" i="5"/>
  <c r="G16" i="5"/>
  <c r="U10" i="20" s="1"/>
  <c r="G8" i="2"/>
  <c r="G20" i="2" s="1"/>
  <c r="U13" i="16" s="1"/>
  <c r="U4" i="16"/>
  <c r="B8" i="2"/>
  <c r="B20" i="2" s="1"/>
  <c r="P13" i="16" s="1"/>
  <c r="P2" i="25"/>
  <c r="C29" i="7"/>
  <c r="Q4" i="25" s="1"/>
  <c r="R2" i="25"/>
  <c r="F29" i="7"/>
  <c r="T4" i="25" s="1"/>
  <c r="V3" i="17"/>
  <c r="C6" i="10"/>
  <c r="A2" i="11"/>
  <c r="A2" i="10"/>
  <c r="A2" i="9"/>
  <c r="A2" i="4"/>
  <c r="A2" i="8"/>
  <c r="A2" i="3"/>
  <c r="A2" i="7"/>
  <c r="A2" i="2"/>
  <c r="A2" i="5"/>
  <c r="A2" i="1"/>
  <c r="Q95" i="15"/>
  <c r="Q25" i="18"/>
  <c r="T4" i="16"/>
  <c r="F8" i="2"/>
  <c r="D57" i="4"/>
  <c r="D59" i="4" s="1"/>
  <c r="R32" i="18"/>
  <c r="D72" i="4"/>
  <c r="P26" i="18"/>
  <c r="B57" i="4"/>
  <c r="B59" i="4" s="1"/>
  <c r="P32" i="18"/>
  <c r="B72" i="4"/>
  <c r="B65" i="5"/>
  <c r="P56" i="20" s="1"/>
  <c r="P37" i="20"/>
  <c r="V4" i="16"/>
  <c r="H8" i="2"/>
  <c r="G20" i="3"/>
  <c r="U5" i="17" s="1"/>
  <c r="K8" i="3"/>
  <c r="E6" i="1"/>
  <c r="C8" i="4"/>
  <c r="Q5" i="18"/>
  <c r="E79" i="1"/>
  <c r="P119" i="15" s="1"/>
  <c r="P106" i="15"/>
  <c r="T46" i="20"/>
  <c r="F65" i="5"/>
  <c r="U51" i="20"/>
  <c r="S13" i="27"/>
  <c r="C33" i="9"/>
  <c r="Q24" i="27" s="1"/>
  <c r="Q13" i="27"/>
  <c r="U129" i="24"/>
  <c r="G84" i="6"/>
  <c r="U76" i="24" s="1"/>
  <c r="C57" i="4"/>
  <c r="C59" i="4" s="1"/>
  <c r="S3" i="17"/>
  <c r="Q22" i="18"/>
  <c r="Q4" i="15"/>
  <c r="F79" i="1"/>
  <c r="Q119" i="15" s="1"/>
  <c r="Q3" i="16"/>
  <c r="P3" i="16"/>
  <c r="R4" i="16"/>
  <c r="D8" i="2"/>
  <c r="P71" i="15"/>
  <c r="E47" i="1"/>
  <c r="B44" i="4"/>
  <c r="W3" i="17"/>
  <c r="I20" i="3"/>
  <c r="W5" i="17" s="1"/>
  <c r="G9" i="6"/>
  <c r="U11" i="24"/>
  <c r="G9" i="8"/>
  <c r="U2" i="26" s="1"/>
  <c r="U3" i="26"/>
  <c r="A2" i="12"/>
  <c r="P13" i="27"/>
  <c r="B33" i="9"/>
  <c r="P24" i="27" s="1"/>
  <c r="D44" i="4"/>
  <c r="P19" i="18"/>
  <c r="B6" i="10"/>
  <c r="F6" i="10"/>
  <c r="T13" i="27"/>
  <c r="F33" i="9"/>
  <c r="T24" i="27" s="1"/>
  <c r="E9" i="9"/>
  <c r="S2" i="27" s="1"/>
  <c r="B32" i="10"/>
  <c r="P23" i="28" s="1"/>
  <c r="G32" i="10"/>
  <c r="U23" i="28" s="1"/>
  <c r="E32" i="10"/>
  <c r="S23" i="28" s="1"/>
  <c r="C32" i="10"/>
  <c r="Q23" i="28" s="1"/>
  <c r="T21" i="28"/>
  <c r="R21" i="28"/>
  <c r="A2" i="6"/>
  <c r="P16" i="27"/>
  <c r="U16" i="27"/>
  <c r="T2" i="31"/>
  <c r="D33" i="9" l="1"/>
  <c r="R24" i="27" s="1"/>
  <c r="G33" i="9"/>
  <c r="U24" i="27" s="1"/>
  <c r="F77" i="8"/>
  <c r="T68" i="26" s="1"/>
  <c r="D77" i="8"/>
  <c r="R68" i="26" s="1"/>
  <c r="B77" i="8"/>
  <c r="P68" i="26" s="1"/>
  <c r="R2" i="26"/>
  <c r="C77" i="8"/>
  <c r="Q68" i="26" s="1"/>
  <c r="E77" i="8"/>
  <c r="S68" i="26" s="1"/>
  <c r="C159" i="6"/>
  <c r="Q150" i="24" s="1"/>
  <c r="E159" i="6"/>
  <c r="S150" i="24" s="1"/>
  <c r="Q2" i="24"/>
  <c r="S2" i="24"/>
  <c r="B159" i="6"/>
  <c r="P150" i="24" s="1"/>
  <c r="R2" i="24"/>
  <c r="F159" i="6"/>
  <c r="T150" i="24" s="1"/>
  <c r="C74" i="4"/>
  <c r="Q39" i="18" s="1"/>
  <c r="Q38" i="18"/>
  <c r="G65" i="5"/>
  <c r="U56" i="20" s="1"/>
  <c r="G41" i="5"/>
  <c r="U34" i="20" s="1"/>
  <c r="U3" i="16"/>
  <c r="G159" i="6"/>
  <c r="U150" i="24" s="1"/>
  <c r="U2" i="24"/>
  <c r="R25" i="18"/>
  <c r="D11" i="4"/>
  <c r="B11" i="4"/>
  <c r="P25" i="18"/>
  <c r="E33" i="9"/>
  <c r="S24" i="27" s="1"/>
  <c r="C21" i="4"/>
  <c r="Q2" i="18"/>
  <c r="K20" i="3"/>
  <c r="Y5" i="17" s="1"/>
  <c r="Y3" i="17"/>
  <c r="R3" i="16"/>
  <c r="D20" i="2"/>
  <c r="R13" i="16" s="1"/>
  <c r="F70" i="5"/>
  <c r="T56" i="20"/>
  <c r="P42" i="15"/>
  <c r="G77" i="8"/>
  <c r="U68" i="26" s="1"/>
  <c r="P95" i="15"/>
  <c r="Q42" i="15"/>
  <c r="F20" i="2"/>
  <c r="T13" i="16" s="1"/>
  <c r="T3" i="16"/>
  <c r="B70" i="5"/>
  <c r="V3" i="16"/>
  <c r="H20" i="2"/>
  <c r="V13" i="16" s="1"/>
  <c r="B74" i="4"/>
  <c r="P39" i="18" s="1"/>
  <c r="P38" i="18"/>
  <c r="D74" i="4"/>
  <c r="R39" i="18" s="1"/>
  <c r="R38" i="18"/>
  <c r="G70" i="5" l="1"/>
  <c r="G42" i="5"/>
  <c r="U35" i="20" s="1"/>
  <c r="R5" i="18"/>
  <c r="D8" i="4"/>
  <c r="C23" i="4"/>
  <c r="Q12" i="18"/>
  <c r="P5" i="18"/>
  <c r="B8" i="4"/>
  <c r="Q13" i="18" l="1"/>
  <c r="C25" i="4"/>
  <c r="B21" i="4"/>
  <c r="P2" i="18"/>
  <c r="D21" i="4"/>
  <c r="R2" i="18"/>
  <c r="R12" i="18" l="1"/>
  <c r="D23" i="4"/>
  <c r="Q14" i="18"/>
  <c r="C33" i="4"/>
  <c r="Q18" i="18" s="1"/>
  <c r="P12" i="18"/>
  <c r="B23" i="4"/>
  <c r="B25" i="4" l="1"/>
  <c r="P13" i="18"/>
  <c r="R13" i="18"/>
  <c r="D25" i="4"/>
  <c r="R14" i="18" l="1"/>
  <c r="D33" i="4"/>
  <c r="R18" i="18" s="1"/>
  <c r="P14" i="18"/>
  <c r="B33" i="4"/>
  <c r="P18" i="18" s="1"/>
  <c r="P47" i="15"/>
  <c r="Q47" i="15"/>
  <c r="Q49" i="15"/>
  <c r="P49" i="15"/>
  <c r="Q50" i="15"/>
  <c r="P50" i="15"/>
  <c r="C60" i="1"/>
  <c r="C62" i="1" s="1"/>
  <c r="Q54" i="15" s="1"/>
  <c r="B60" i="1"/>
  <c r="P53" i="15" s="1"/>
  <c r="B62" i="1"/>
  <c r="P54" i="15" s="1"/>
  <c r="Q53" i="15" l="1"/>
  <c r="P102" i="15"/>
  <c r="Q102" i="15"/>
  <c r="E57" i="1"/>
  <c r="P103" i="15" s="1"/>
  <c r="F57" i="1"/>
  <c r="Q103" i="15" s="1"/>
  <c r="F59" i="1" l="1"/>
  <c r="F81" i="1" s="1"/>
  <c r="Q120" i="15" s="1"/>
  <c r="E59" i="1"/>
  <c r="Q104" i="15"/>
  <c r="E81" i="1" l="1"/>
  <c r="P120" i="15" s="1"/>
  <c r="P104" i="1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<sst xmlns="http://schemas.openxmlformats.org/spreadsheetml/2006/main" count="4243" uniqueCount="3305">
  <si>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</si>
  <si>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</si>
  <si>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</si>
  <si>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</si>
  <si>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</si>
  <si>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</si>
  <si>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</si>
  <si>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</si>
  <si>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</si>
  <si>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</si>
  <si>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</si>
  <si>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</si>
  <si>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</si>
  <si>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</si>
  <si>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</si>
  <si>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</si>
  <si>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</si>
  <si>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</si>
  <si>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</si>
  <si>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</si>
  <si>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</si>
  <si>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</si>
  <si>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</si>
  <si>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</si>
  <si>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</si>
  <si>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</si>
  <si>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</si>
  <si>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</si>
  <si>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</si>
  <si>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</si>
  <si>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</si>
  <si>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</si>
  <si>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</si>
  <si>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</si>
  <si>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</si>
  <si>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</si>
  <si>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</si>
  <si>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</si>
  <si>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</si>
  <si>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</si>
  <si>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</si>
  <si>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</si>
  <si>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</si>
  <si>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</si>
  <si>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</si>
  <si>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</si>
  <si>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</si>
  <si>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</si>
  <si>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</si>
  <si>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</si>
  <si>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</si>
  <si>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</si>
  <si>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</si>
  <si>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</si>
  <si>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</si>
  <si>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</si>
  <si>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</si>
  <si>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</si>
  <si>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</si>
  <si>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</si>
  <si>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</si>
  <si>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</si>
  <si>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</si>
  <si>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</si>
  <si>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</si>
  <si>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</si>
  <si>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</si>
  <si>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</si>
  <si>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</si>
  <si>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</si>
  <si>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</si>
  <si>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</si>
  <si>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</si>
  <si>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</si>
  <si>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</si>
  <si>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</si>
  <si>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</si>
  <si>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</si>
  <si>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</si>
  <si>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</si>
  <si>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</si>
  <si>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</si>
  <si>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</si>
  <si>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</si>
  <si>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</si>
  <si>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</si>
  <si>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</si>
  <si>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</si>
  <si>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</si>
  <si>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</si>
  <si>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</si>
  <si>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</si>
  <si>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</si>
  <si>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</si>
  <si>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</si>
  <si>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</si>
  <si>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</si>
  <si>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</si>
  <si>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</si>
  <si>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</si>
  <si>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</si>
  <si>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</si>
  <si>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</si>
  <si>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</si>
  <si>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</si>
  <si>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</si>
  <si>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</si>
  <si>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</si>
  <si>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</si>
  <si>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</si>
  <si>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</si>
  <si>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</si>
  <si>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</si>
  <si>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</si>
  <si>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</si>
  <si>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</si>
  <si>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</si>
  <si>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</si>
  <si>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</si>
  <si>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</si>
  <si>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</si>
  <si>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</si>
  <si>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</si>
  <si>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</si>
  <si>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</si>
  <si>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</si>
  <si>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</si>
  <si>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</si>
  <si>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</si>
  <si>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</si>
  <si>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</si>
  <si>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</si>
  <si>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</si>
  <si>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</si>
  <si>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</si>
  <si>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</si>
  <si>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</si>
  <si>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</si>
  <si>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</si>
  <si>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</si>
  <si>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</si>
  <si>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</si>
  <si>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</si>
  <si>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</si>
  <si>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</si>
  <si>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</si>
  <si>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</si>
  <si>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</si>
  <si>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</si>
  <si>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</si>
  <si>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</si>
  <si>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</si>
  <si>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</si>
  <si>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</si>
  <si>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</si>
  <si>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</si>
  <si>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</si>
  <si>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</si>
  <si>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</si>
  <si>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</si>
  <si>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</si>
  <si>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</si>
  <si>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</si>
  <si>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</si>
  <si>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</si>
  <si>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</si>
  <si>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</si>
  <si>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</si>
  <si>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</si>
  <si>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</si>
  <si>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</si>
  <si>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</si>
  <si>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</si>
  <si>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</si>
  <si>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</si>
  <si>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</si>
  <si>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</si>
  <si>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</si>
  <si>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</si>
  <si>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</si>
  <si>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</si>
  <si>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</si>
  <si>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</si>
  <si>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</si>
  <si>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</si>
  <si>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</si>
  <si>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</si>
  <si>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</si>
  <si>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</si>
  <si>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</si>
  <si>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</si>
  <si>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</si>
  <si>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</si>
  <si>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</si>
  <si>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</si>
  <si>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</si>
  <si>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</si>
  <si>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</si>
  <si>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</si>
  <si>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</si>
  <si>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</si>
  <si>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</si>
  <si>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</si>
  <si>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</si>
  <si>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</si>
  <si>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</si>
  <si>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</si>
  <si>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</si>
  <si>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</si>
  <si>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</si>
  <si>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</si>
  <si>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</si>
  <si>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</si>
  <si>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</si>
  <si>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</si>
  <si>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</si>
  <si>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</si>
  <si>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</si>
  <si>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</si>
  <si>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</si>
  <si>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</si>
  <si>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</si>
  <si>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</si>
  <si>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</si>
  <si>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</si>
  <si>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</si>
  <si>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</si>
  <si>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</si>
  <si>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</si>
  <si>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</si>
  <si>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</si>
  <si>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</si>
  <si>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</si>
  <si>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</si>
  <si>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</si>
  <si>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</si>
  <si>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</si>
  <si>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</si>
  <si>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</si>
  <si>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</si>
  <si>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</si>
  <si>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</si>
  <si>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</si>
  <si>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</si>
  <si>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</si>
  <si>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</si>
  <si>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</si>
  <si>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</si>
  <si>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</si>
  <si>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</si>
  <si>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</si>
  <si>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</si>
  <si>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</si>
  <si>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</si>
  <si>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</si>
  <si>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</si>
  <si>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</si>
  <si>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</si>
  <si>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</si>
  <si>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</si>
  <si>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</si>
  <si>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</si>
  <si>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</si>
  <si>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</si>
  <si>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</si>
  <si>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</si>
  <si>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</si>
  <si>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</si>
  <si>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</si>
  <si>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</si>
  <si>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</si>
  <si>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</si>
  <si>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</si>
  <si>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</si>
  <si>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</si>
  <si>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</si>
  <si>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</si>
  <si>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</si>
  <si>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</si>
  <si>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</si>
  <si>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</si>
  <si>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</si>
  <si>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</si>
  <si>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</si>
  <si>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</si>
  <si>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</si>
  <si>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</si>
  <si>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</si>
  <si>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</si>
  <si>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</si>
  <si>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</si>
  <si>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</si>
  <si>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</si>
  <si>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</si>
  <si>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</si>
  <si>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</si>
  <si>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</si>
  <si>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</si>
  <si>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</si>
  <si>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</si>
  <si>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</si>
  <si>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</si>
  <si>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</si>
  <si>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</si>
  <si>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</si>
  <si>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</si>
  <si>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</si>
  <si>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</si>
  <si>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</si>
  <si>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</si>
  <si>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</si>
  <si>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</si>
  <si>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</si>
  <si>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</si>
  <si>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</si>
  <si>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</si>
  <si>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</si>
  <si>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</si>
  <si>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</si>
  <si>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</si>
  <si>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</si>
  <si>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</si>
  <si>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</si>
  <si>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</si>
  <si>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</si>
  <si>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</si>
  <si>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</si>
  <si>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</si>
  <si>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</si>
  <si>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</si>
  <si>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</si>
  <si>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</si>
  <si>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</si>
  <si>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</si>
  <si>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</si>
  <si>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</si>
  <si>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</si>
  <si>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</si>
  <si>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</si>
  <si>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</si>
  <si>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</si>
  <si>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</si>
  <si>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</si>
  <si>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</si>
  <si>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</si>
  <si>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</si>
  <si>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</si>
  <si>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</si>
  <si>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</si>
  <si>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</si>
  <si>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</si>
  <si>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</si>
  <si>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</si>
  <si>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</si>
  <si>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</si>
  <si>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</si>
  <si>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</si>
  <si>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</si>
  <si>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</si>
  <si>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</si>
  <si>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</si>
  <si>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</si>
  <si>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</si>
  <si>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</si>
  <si>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</si>
  <si>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</si>
  <si>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</si>
  <si>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</si>
  <si>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</si>
  <si>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</si>
  <si>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</si>
  <si>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</si>
  <si>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</si>
  <si>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</si>
  <si>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</si>
  <si>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</si>
  <si>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</si>
  <si>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</si>
  <si>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</si>
  <si>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</si>
  <si>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</si>
  <si>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</si>
  <si>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</si>
  <si>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</si>
  <si>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</si>
  <si>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</si>
  <si>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</si>
  <si>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</si>
  <si>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</si>
  <si>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</si>
  <si>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</si>
  <si>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</si>
  <si>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</si>
  <si>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</si>
  <si>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</si>
  <si>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</si>
  <si>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</si>
  <si>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</si>
  <si>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</si>
  <si>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</si>
  <si>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</si>
  <si>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</si>
  <si>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</si>
  <si>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</si>
  <si>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</si>
  <si>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</si>
  <si>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</si>
  <si>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</si>
  <si>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</si>
  <si>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</si>
  <si>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</si>
  <si>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</si>
  <si>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</si>
  <si>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</si>
  <si>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</si>
  <si>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</si>
  <si>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</si>
  <si>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</si>
  <si>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</si>
  <si>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</si>
  <si>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</si>
  <si>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</si>
  <si>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</si>
  <si>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</si>
  <si>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</si>
  <si>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</si>
  <si>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</si>
  <si>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</si>
  <si>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</si>
  <si>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</si>
  <si>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</si>
  <si>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</si>
  <si>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</si>
  <si>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</si>
  <si>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</si>
  <si>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</si>
  <si>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</si>
  <si>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</si>
  <si>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</si>
  <si>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</si>
  <si>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</si>
  <si>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</si>
  <si>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</si>
  <si>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</si>
  <si>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</si>
  <si>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</si>
  <si>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</si>
  <si>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</si>
  <si>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</si>
  <si>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</si>
  <si>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</si>
  <si>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</si>
  <si>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</si>
  <si>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</si>
  <si>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</si>
  <si>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</si>
  <si>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</si>
  <si>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</si>
  <si>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</si>
  <si>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</si>
  <si>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</si>
  <si>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</si>
  <si>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</si>
  <si>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</si>
  <si>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</si>
  <si>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</si>
  <si>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</si>
  <si>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</si>
  <si>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</si>
  <si>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</si>
  <si>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</si>
  <si>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</si>
  <si>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</si>
  <si>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</si>
  <si>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</si>
  <si>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</si>
  <si>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</si>
  <si>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</si>
  <si>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</si>
  <si>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</si>
  <si>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</si>
  <si>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</si>
  <si>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</si>
  <si>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</si>
  <si>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</si>
  <si>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</si>
  <si>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</si>
  <si>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</si>
  <si>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</si>
  <si>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</si>
  <si>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</si>
  <si>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</si>
  <si>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</si>
  <si>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</si>
  <si>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</si>
  <si>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</si>
  <si>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</si>
  <si>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</si>
  <si>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</si>
  <si>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</si>
  <si>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</si>
  <si>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</si>
  <si>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</si>
  <si>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</si>
  <si>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</si>
  <si>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</si>
  <si>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</si>
  <si>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</si>
  <si>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</si>
  <si>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</si>
  <si>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</si>
  <si>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</si>
  <si>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</si>
  <si>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</si>
  <si>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</si>
  <si>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</si>
  <si>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</si>
  <si>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</si>
  <si>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</si>
  <si>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</si>
  <si>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</si>
  <si>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</si>
  <si>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</si>
  <si>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</si>
  <si>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</si>
  <si>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</si>
  <si>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</si>
  <si>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</si>
  <si>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</si>
  <si>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</si>
  <si>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</si>
  <si>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</si>
  <si>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</si>
  <si>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</si>
  <si>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</si>
  <si>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</si>
  <si>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</si>
  <si>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</si>
  <si>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</si>
  <si>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</si>
  <si>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</si>
  <si>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</si>
  <si>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</si>
  <si>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</si>
  <si>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</si>
  <si>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</si>
  <si>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</si>
  <si>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</si>
  <si>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</si>
  <si>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</si>
  <si>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</si>
  <si>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</si>
  <si>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</si>
  <si>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</si>
  <si>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</si>
  <si>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</si>
  <si>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</si>
  <si>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</si>
  <si>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</si>
  <si>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</si>
  <si>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</si>
  <si>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</si>
  <si>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</si>
  <si>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</si>
  <si>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</si>
  <si>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</si>
  <si>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</si>
  <si>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</si>
  <si>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</si>
  <si>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</si>
  <si>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</si>
  <si>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</si>
  <si>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</si>
  <si>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</si>
  <si>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</si>
  <si>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</si>
  <si>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</si>
  <si>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</si>
  <si>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</si>
  <si>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</si>
  <si>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</si>
  <si>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</si>
  <si>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</si>
  <si>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</si>
  <si>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</si>
  <si>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</si>
  <si>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</si>
  <si>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</si>
  <si>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</si>
  <si>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</si>
  <si>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</si>
  <si>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</si>
  <si>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</si>
  <si>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</si>
  <si>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</si>
  <si>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</si>
  <si>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</si>
  <si>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</si>
  <si>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</si>
  <si>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</si>
  <si>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</si>
  <si>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</si>
  <si>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</si>
  <si>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</si>
  <si>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</si>
  <si>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</si>
  <si>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</si>
  <si>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</si>
  <si>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</si>
  <si>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</si>
  <si>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</si>
  <si>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</si>
  <si>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</si>
  <si>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</si>
  <si>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</si>
  <si>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</si>
  <si>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</si>
  <si>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</si>
  <si>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</si>
  <si>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</si>
  <si>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</si>
  <si>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</si>
  <si>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</si>
  <si>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</si>
  <si>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</si>
  <si>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</si>
  <si>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</si>
  <si>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</si>
  <si>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</si>
  <si>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</si>
  <si>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</si>
  <si>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</si>
  <si>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</si>
  <si>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</si>
  <si>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</si>
  <si>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</si>
  <si>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</si>
  <si>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</si>
  <si>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</si>
  <si>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</si>
  <si>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</si>
  <si>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</si>
  <si>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</si>
  <si>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</si>
  <si>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</si>
  <si>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</si>
  <si>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</si>
  <si>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</si>
  <si>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</si>
  <si>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</si>
  <si>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</si>
  <si>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</si>
  <si>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</si>
  <si>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</si>
  <si>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</si>
  <si>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</si>
  <si>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</si>
  <si>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</si>
  <si>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</si>
  <si>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</si>
  <si>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</si>
  <si>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</si>
  <si>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</si>
  <si>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</si>
  <si>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</si>
  <si>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</si>
  <si>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</si>
  <si>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</si>
  <si>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</si>
  <si>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</si>
  <si>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</si>
  <si>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</si>
  <si>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</si>
  <si>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</si>
  <si>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</si>
  <si>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</si>
  <si>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</si>
  <si>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</si>
  <si>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</si>
  <si>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</si>
  <si>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</si>
  <si>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</si>
  <si>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</si>
  <si>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</si>
  <si>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</si>
  <si>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</si>
  <si>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</si>
  <si>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</si>
  <si>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</si>
  <si>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</si>
  <si>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</si>
  <si>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</si>
  <si>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</si>
  <si>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</si>
  <si>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</si>
  <si>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</si>
  <si>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</si>
  <si>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</si>
  <si>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</si>
  <si>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</si>
  <si>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</si>
  <si>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</si>
  <si>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</si>
  <si>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</si>
  <si>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</si>
  <si>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</si>
  <si>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</si>
  <si>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</si>
  <si>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</si>
  <si>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</si>
  <si>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</si>
  <si>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</si>
  <si>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</si>
  <si>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</si>
  <si>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</si>
  <si>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</si>
  <si>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</si>
  <si>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</si>
  <si>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</si>
  <si>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</si>
  <si>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</si>
  <si>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</si>
  <si>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</si>
  <si>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</si>
  <si>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</si>
  <si>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</si>
  <si>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</si>
  <si>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</si>
  <si>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</si>
  <si>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</si>
  <si>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</si>
  <si>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</si>
  <si>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</si>
  <si>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</si>
  <si>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</si>
  <si>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</si>
  <si>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</si>
  <si>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</si>
  <si>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</si>
  <si>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</si>
  <si>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</si>
  <si>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</si>
  <si>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</si>
  <si>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</si>
  <si>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</si>
  <si>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</si>
  <si>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</si>
  <si>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</si>
  <si>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</si>
  <si>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</si>
  <si>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</si>
  <si>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</si>
  <si>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</si>
  <si>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</si>
  <si>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</si>
  <si>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</si>
  <si>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</si>
  <si>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</si>
  <si>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</si>
  <si>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</si>
  <si>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</si>
  <si>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</si>
  <si>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</si>
  <si>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</si>
  <si>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</si>
  <si>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</si>
  <si>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</si>
  <si>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</si>
  <si>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</si>
  <si>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</si>
  <si>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</si>
  <si>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</si>
  <si>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</si>
  <si>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</si>
  <si>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</si>
  <si>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</si>
  <si>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</si>
  <si>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</si>
  <si>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</si>
  <si>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</si>
  <si>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</si>
  <si>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</si>
  <si>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</si>
  <si>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</si>
  <si>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</si>
  <si>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</si>
  <si>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</si>
  <si>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</si>
  <si>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</si>
  <si>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</si>
  <si>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</si>
  <si>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</si>
  <si>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</si>
  <si>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</si>
  <si>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</si>
  <si>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</si>
  <si>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</si>
  <si>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</si>
  <si>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</si>
  <si>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</si>
  <si>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</si>
  <si>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</si>
  <si>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</si>
  <si>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</si>
  <si>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</si>
  <si>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</si>
  <si>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</si>
  <si>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</si>
  <si>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</si>
  <si>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</si>
  <si>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</si>
  <si>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</si>
  <si>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</si>
  <si>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</si>
  <si>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</si>
  <si>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</si>
  <si>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</si>
  <si>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</si>
  <si>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</si>
  <si>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</si>
  <si>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</si>
  <si>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</si>
  <si>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</si>
  <si>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</si>
  <si>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</si>
  <si>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</si>
  <si>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</si>
  <si>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</si>
  <si>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</si>
  <si>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</si>
  <si>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</si>
  <si>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</si>
  <si>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</si>
  <si>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</si>
  <si>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</si>
  <si>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</si>
  <si>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</si>
  <si>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</si>
  <si>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</si>
  <si>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</si>
  <si>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</si>
  <si>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</si>
  <si>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</si>
  <si>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</si>
  <si>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</si>
  <si>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</si>
  <si>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</si>
  <si>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</si>
  <si>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</si>
  <si>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</si>
  <si>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</si>
  <si>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</si>
  <si>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</si>
  <si>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</si>
  <si>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</si>
  <si>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</si>
  <si>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</si>
  <si>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</si>
  <si>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</si>
  <si>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</si>
  <si>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</si>
  <si>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</si>
  <si>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</si>
  <si>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</si>
  <si>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</si>
  <si>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</si>
  <si>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</si>
  <si>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</si>
  <si>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</si>
  <si>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</si>
  <si>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</si>
  <si>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</si>
  <si>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</si>
  <si>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</si>
  <si>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</si>
  <si>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</si>
  <si>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</si>
  <si>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</si>
  <si>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</si>
  <si>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</si>
  <si>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</si>
  <si>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</si>
  <si>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</si>
  <si>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</si>
  <si>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</si>
  <si>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</si>
  <si>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</si>
  <si>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</si>
  <si>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</si>
  <si>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</si>
  <si>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</si>
  <si>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</si>
  <si>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</si>
  <si>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</si>
  <si>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</si>
  <si>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</si>
  <si>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</si>
  <si>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</si>
  <si>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</si>
  <si>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</si>
  <si>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</si>
  <si>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</si>
  <si>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</si>
  <si>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</si>
  <si>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</si>
  <si>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</si>
  <si>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</si>
  <si>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</si>
  <si>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</si>
  <si>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</si>
  <si>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</si>
  <si>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</si>
  <si>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</si>
  <si>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</si>
  <si>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</si>
  <si>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</si>
  <si>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</si>
  <si>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</si>
  <si>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</si>
  <si>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</si>
  <si>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</si>
  <si>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</si>
  <si>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</si>
  <si>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</si>
  <si>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</si>
  <si>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</si>
  <si>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</si>
  <si>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</si>
  <si>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</si>
  <si>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</si>
  <si>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</si>
  <si>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</si>
  <si>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</si>
  <si>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</si>
  <si>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</si>
  <si>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</si>
  <si>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</si>
  <si>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</si>
  <si>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</si>
  <si>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</si>
  <si>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</si>
  <si>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</si>
  <si>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</si>
  <si>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</si>
  <si>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</si>
  <si>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</si>
  <si>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</si>
  <si>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</si>
  <si>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</si>
  <si>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</si>
  <si>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</si>
  <si>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</si>
  <si>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</si>
  <si>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</si>
  <si>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</si>
  <si>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</si>
  <si>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</si>
  <si>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</si>
  <si>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</si>
  <si>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</si>
  <si>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</si>
  <si>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</si>
  <si>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</si>
  <si>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</si>
  <si>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</si>
  <si>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</si>
  <si>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</si>
  <si>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</si>
  <si>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</si>
  <si>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</si>
  <si>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</si>
  <si>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</si>
  <si>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</si>
  <si>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</si>
  <si>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</si>
  <si>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</si>
  <si>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</si>
  <si>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</si>
  <si>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</si>
  <si>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</si>
  <si>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</si>
  <si>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</si>
  <si>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</si>
  <si>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</si>
  <si>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</si>
  <si>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</si>
  <si>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</si>
  <si>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</si>
  <si>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</si>
  <si>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</si>
  <si>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</si>
  <si>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</si>
  <si>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</si>
  <si>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</si>
  <si>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</si>
  <si>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</si>
  <si>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</si>
  <si>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</si>
  <si>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</si>
  <si>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</si>
  <si>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</si>
  <si>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</si>
  <si>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</si>
  <si>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</si>
  <si>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</si>
  <si>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</si>
  <si>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</si>
  <si>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</si>
  <si>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</si>
  <si>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</si>
  <si>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</si>
  <si>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</si>
  <si>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</si>
  <si>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</si>
  <si>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</si>
  <si>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</si>
  <si>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</si>
  <si>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</si>
  <si>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</si>
  <si>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</si>
  <si>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</si>
  <si>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</si>
  <si>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</si>
  <si>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</si>
  <si>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</si>
  <si>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</si>
  <si>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</si>
  <si>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</si>
  <si>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</si>
  <si>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</si>
  <si>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</si>
  <si>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</si>
  <si>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</si>
  <si>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</si>
  <si>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</si>
  <si>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</si>
  <si>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</si>
  <si>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</si>
  <si>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</si>
  <si>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</si>
  <si>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</si>
  <si>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</si>
  <si>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</si>
  <si>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</si>
  <si>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</si>
  <si>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</si>
  <si>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</si>
  <si>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</si>
  <si>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</si>
  <si>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</si>
  <si>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</si>
  <si>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</si>
  <si>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</si>
  <si>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</si>
  <si>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</si>
  <si>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</si>
  <si>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</si>
  <si>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</si>
  <si>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</si>
  <si>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</si>
  <si>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</si>
  <si>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</si>
  <si>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</si>
  <si>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</si>
  <si>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</si>
  <si>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</si>
  <si>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</si>
  <si>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</si>
  <si>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</si>
  <si>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</si>
  <si>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</si>
  <si>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</si>
  <si>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</si>
  <si>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</si>
  <si>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</si>
  <si>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</si>
  <si>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</si>
  <si>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</si>
  <si>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</si>
  <si>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</si>
  <si>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</si>
  <si>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</si>
  <si>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</si>
  <si>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</si>
  <si>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</si>
  <si>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</si>
  <si>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</si>
  <si>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</si>
  <si>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</si>
  <si>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</si>
  <si>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</si>
  <si>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</si>
  <si>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</si>
  <si>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</si>
  <si>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</si>
  <si>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</si>
  <si>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</si>
  <si>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</si>
  <si>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</si>
  <si>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</si>
  <si>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</si>
  <si>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</si>
  <si>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</si>
  <si>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</si>
  <si>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</si>
  <si>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</si>
  <si>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</si>
  <si>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</si>
  <si>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</si>
  <si>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</si>
  <si>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</si>
  <si>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</si>
  <si>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</si>
  <si>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</si>
  <si>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</si>
  <si>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</si>
  <si>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</si>
  <si>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</si>
  <si>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</si>
  <si>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</si>
  <si>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</si>
  <si>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</si>
  <si>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</si>
  <si>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</si>
  <si>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</si>
  <si>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</si>
  <si>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</si>
  <si>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</si>
  <si>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</si>
  <si>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</si>
  <si>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</si>
  <si>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</si>
  <si>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</si>
  <si>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</si>
  <si>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</si>
  <si>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</si>
  <si>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</si>
  <si>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</si>
  <si>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</si>
  <si>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</si>
  <si>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</si>
  <si>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</si>
  <si>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</si>
  <si>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</si>
  <si>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</si>
  <si>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</si>
  <si>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</si>
  <si>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</si>
  <si>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</si>
  <si>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</si>
  <si>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</si>
  <si>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</si>
  <si>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</si>
  <si>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</si>
  <si>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</si>
  <si>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</si>
  <si>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</si>
  <si>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</si>
  <si>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</si>
  <si>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</si>
  <si>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</si>
  <si>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</si>
  <si>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</si>
  <si>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</si>
  <si>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</si>
  <si>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</si>
  <si>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</si>
  <si>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</si>
  <si>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</si>
  <si>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</si>
  <si>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</si>
  <si>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</si>
  <si>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</si>
  <si>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</si>
  <si>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</si>
  <si>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</si>
  <si>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</si>
  <si>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</si>
  <si>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</si>
  <si>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</si>
  <si>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</si>
  <si>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</si>
  <si>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</si>
  <si>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</si>
  <si>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</si>
  <si>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</si>
  <si>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</si>
  <si>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</si>
  <si>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</si>
  <si>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</si>
  <si>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</si>
  <si>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</si>
  <si>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</si>
  <si>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</si>
  <si>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</si>
  <si>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</si>
  <si>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</si>
  <si>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</si>
  <si>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</si>
  <si>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</si>
  <si>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</si>
  <si>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</si>
  <si>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</si>
  <si>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</si>
  <si>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</si>
  <si>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</si>
  <si>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</si>
  <si>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</si>
  <si>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</si>
  <si>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</si>
  <si>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</si>
  <si>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</si>
  <si>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</si>
  <si>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</si>
  <si>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</si>
  <si>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</si>
  <si>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</si>
  <si>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</si>
  <si>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</si>
  <si>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</si>
  <si>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</si>
  <si>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</si>
  <si>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</si>
  <si>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</si>
  <si>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</si>
  <si>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</si>
  <si>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</si>
  <si>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</si>
  <si>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</si>
  <si>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</si>
  <si>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</si>
  <si>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</si>
  <si>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</si>
  <si>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</si>
  <si>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</si>
  <si>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</si>
  <si>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</si>
  <si>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</si>
  <si>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</si>
  <si>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</si>
  <si>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</si>
  <si>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</si>
  <si>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</si>
  <si>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</si>
  <si>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</si>
  <si>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</si>
  <si>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</si>
  <si>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</si>
  <si>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</si>
  <si>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</si>
  <si>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</si>
  <si>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</si>
  <si>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</si>
  <si>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</si>
  <si>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</si>
  <si>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</si>
  <si>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</si>
  <si>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</si>
  <si>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</si>
  <si>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</si>
  <si>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</si>
  <si>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</si>
  <si>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</si>
  <si>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</si>
  <si>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</si>
  <si>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</si>
  <si>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</si>
  <si>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</si>
  <si>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</si>
  <si>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</si>
  <si>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</si>
  <si>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</si>
  <si>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</si>
  <si>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</si>
  <si>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</si>
  <si>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</si>
  <si>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</si>
  <si>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</si>
  <si>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</si>
  <si>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</si>
  <si>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</si>
  <si>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</si>
  <si>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</si>
  <si>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</si>
  <si>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</si>
  <si>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</si>
  <si>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</si>
  <si>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</si>
  <si>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</si>
  <si>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</si>
  <si>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</si>
  <si>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</si>
  <si>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</si>
  <si>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</si>
  <si>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</si>
  <si>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</si>
  <si>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</si>
  <si>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</si>
  <si>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</si>
  <si>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</si>
  <si>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</si>
  <si>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</si>
  <si>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</si>
  <si>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</si>
  <si>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</si>
  <si>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</si>
  <si>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</si>
  <si>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</si>
  <si>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</si>
  <si>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</si>
  <si>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</si>
  <si>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</si>
  <si>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</si>
  <si>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</si>
  <si>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</si>
  <si>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</si>
  <si>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</si>
  <si>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</si>
  <si>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</si>
  <si>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</si>
  <si>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</si>
  <si>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</si>
  <si>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</si>
  <si>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</si>
  <si>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</si>
  <si>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</si>
  <si>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</si>
  <si>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</si>
  <si>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</si>
  <si>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</si>
  <si>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</si>
  <si>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</si>
  <si>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</si>
  <si>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</si>
  <si>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</si>
  <si>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</si>
  <si>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</si>
  <si>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</si>
  <si>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</si>
  <si>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</si>
  <si>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</si>
  <si>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</si>
  <si>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</si>
  <si>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</si>
  <si>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</si>
  <si>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</si>
  <si>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</si>
  <si>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</si>
  <si>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</si>
  <si>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</si>
  <si>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</si>
  <si>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</si>
  <si>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</si>
  <si>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</si>
  <si>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</si>
  <si>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</si>
  <si>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</si>
  <si>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</si>
  <si>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</si>
  <si>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</si>
  <si>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</si>
  <si>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</si>
  <si>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</si>
  <si>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</si>
  <si>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</si>
  <si>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</si>
  <si>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</si>
  <si>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</si>
  <si>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</si>
  <si>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</si>
  <si>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</si>
  <si>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</si>
  <si>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</si>
  <si>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</si>
  <si>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</si>
  <si>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</si>
  <si>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</si>
  <si>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</si>
  <si>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</si>
  <si>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</si>
  <si>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</si>
  <si>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</si>
  <si>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</si>
  <si>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</si>
  <si>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</si>
  <si>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</si>
  <si>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</si>
  <si>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</si>
  <si>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</si>
  <si>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</si>
  <si>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</si>
  <si>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</si>
  <si>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</si>
  <si>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</si>
  <si>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</si>
  <si>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</si>
  <si>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</si>
  <si>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</si>
  <si>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</si>
  <si>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</si>
  <si>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</si>
  <si>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</si>
  <si>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</si>
  <si>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</si>
  <si>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</si>
  <si>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</si>
  <si>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</si>
  <si>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</si>
  <si>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</si>
  <si>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</si>
  <si>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</si>
  <si>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</si>
  <si>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</si>
  <si>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</si>
  <si>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</si>
  <si>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</si>
  <si>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</si>
  <si>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</si>
  <si>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</si>
  <si>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</si>
  <si>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</si>
  <si>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</si>
  <si>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</si>
  <si>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</si>
  <si>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</si>
  <si>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</si>
  <si>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</si>
  <si>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</si>
  <si>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</si>
  <si>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</si>
  <si>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</si>
  <si>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</si>
  <si>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</si>
  <si>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</si>
  <si>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</si>
  <si>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</si>
  <si>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</si>
  <si>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</si>
  <si>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</si>
  <si>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</si>
  <si>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</si>
  <si>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</si>
  <si>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</si>
  <si>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</si>
  <si>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</si>
  <si>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</si>
  <si>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</si>
  <si>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</si>
  <si>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</si>
  <si>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</si>
  <si>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</si>
  <si>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</si>
  <si>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</si>
  <si>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</si>
  <si>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</si>
  <si>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</si>
  <si>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</si>
  <si>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</si>
  <si>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</si>
  <si>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</si>
  <si>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</si>
  <si>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</si>
  <si>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</si>
  <si>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</si>
  <si>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</si>
  <si>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</si>
  <si>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</si>
  <si>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</si>
  <si>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</si>
  <si>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</si>
  <si>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</si>
  <si>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</si>
  <si>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</si>
  <si>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</si>
  <si>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</si>
  <si>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</si>
  <si>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</si>
  <si>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</si>
  <si>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</si>
  <si>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</si>
  <si>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</si>
  <si>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</si>
  <si>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</si>
  <si>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</si>
  <si>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</si>
  <si>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</si>
  <si>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</si>
  <si>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</si>
  <si>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</si>
  <si>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</si>
  <si>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</si>
  <si>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</si>
  <si>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</si>
  <si>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</si>
  <si>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</si>
  <si>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</si>
  <si>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</si>
  <si>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</si>
  <si>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</si>
  <si>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</si>
  <si>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</si>
  <si>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</si>
  <si>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</si>
  <si>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</si>
  <si>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</si>
  <si>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</si>
  <si>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</si>
  <si>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</si>
  <si>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</si>
  <si>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</si>
  <si>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</si>
  <si>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</si>
  <si>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</si>
  <si>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</si>
  <si>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</si>
  <si>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</si>
  <si>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</si>
  <si>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</si>
  <si>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</si>
  <si>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</si>
  <si>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</si>
  <si>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</si>
  <si>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</si>
  <si>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</si>
  <si>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</si>
  <si>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</si>
  <si>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</si>
  <si>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</si>
  <si>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</si>
  <si>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</si>
  <si>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</si>
  <si>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</si>
  <si>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</si>
  <si>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</si>
  <si>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</si>
  <si>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</si>
  <si>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</si>
  <si>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</si>
  <si>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</si>
  <si>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</si>
  <si>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</si>
  <si>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</si>
  <si>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</si>
  <si>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</si>
  <si>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</si>
  <si>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</si>
  <si>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</si>
  <si>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</si>
  <si>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</si>
  <si>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</si>
  <si>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</si>
  <si>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</si>
  <si>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</si>
  <si>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</si>
  <si>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</si>
  <si>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</si>
  <si>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</si>
  <si>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</si>
  <si>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</si>
  <si>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</si>
  <si>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</si>
  <si>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</si>
  <si>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</si>
  <si>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</si>
  <si>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</si>
  <si>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</si>
  <si>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</si>
  <si>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</si>
  <si>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</si>
  <si>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</si>
  <si>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</si>
  <si>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</si>
  <si>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</si>
  <si>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</si>
  <si>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</si>
  <si>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</si>
  <si>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</si>
  <si>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</si>
  <si>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</si>
  <si>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</si>
  <si>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</si>
  <si>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</si>
  <si>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</si>
  <si>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</si>
  <si>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</si>
  <si>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</si>
  <si>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</si>
  <si>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</si>
  <si>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</si>
  <si>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</si>
  <si>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</si>
  <si>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</si>
  <si>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</si>
  <si>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</si>
  <si>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</si>
  <si>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</si>
  <si>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</si>
  <si>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</si>
  <si>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</si>
  <si>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</si>
  <si>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</si>
  <si>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</si>
  <si>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</si>
  <si>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</si>
  <si>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</si>
  <si>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</si>
  <si>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</si>
  <si>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</si>
  <si>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</si>
  <si>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</si>
  <si>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</si>
  <si>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</si>
  <si>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</si>
  <si>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</si>
  <si>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</si>
  <si>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</si>
  <si>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</si>
  <si>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</si>
  <si>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</si>
  <si>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</si>
  <si>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</si>
  <si>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</si>
  <si>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</si>
  <si>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</si>
  <si>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</si>
  <si>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</si>
  <si>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</si>
  <si>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</si>
  <si>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</si>
  <si>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</si>
  <si>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</si>
  <si>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</si>
  <si>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</si>
  <si>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</si>
  <si>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</si>
  <si>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</si>
  <si>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</si>
  <si>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</si>
  <si>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</si>
  <si>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</si>
  <si>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</si>
  <si>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</si>
  <si>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</si>
  <si>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</si>
  <si>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</si>
  <si>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</si>
  <si>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</si>
  <si>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</si>
  <si>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</si>
  <si>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</si>
  <si>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</si>
  <si>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</si>
  <si>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</si>
  <si>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</si>
  <si>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</si>
  <si>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</si>
  <si>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</si>
  <si>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</si>
  <si>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</si>
  <si>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</si>
  <si>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</si>
  <si>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</si>
  <si>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</si>
  <si>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</si>
  <si>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</si>
  <si>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</si>
  <si>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</si>
  <si>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</si>
  <si>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</si>
  <si>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</si>
  <si>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</si>
  <si>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</si>
  <si>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</si>
  <si>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</si>
  <si>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</si>
  <si>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</si>
  <si>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</si>
  <si>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</si>
  <si>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</si>
  <si>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</si>
  <si>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</si>
  <si>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</si>
  <si>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</si>
  <si>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</si>
  <si>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</si>
  <si>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</si>
  <si>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</si>
  <si>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</si>
  <si>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</si>
  <si>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</si>
  <si>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</si>
  <si>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</si>
  <si>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</si>
  <si>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</si>
  <si>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</si>
  <si>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</si>
  <si>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</si>
  <si>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</si>
  <si>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</si>
  <si>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</si>
  <si>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</si>
  <si>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</si>
  <si>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</si>
  <si>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</si>
  <si>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</si>
  <si>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</si>
  <si>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</si>
  <si>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</si>
  <si>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</si>
  <si>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</si>
  <si>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</si>
  <si>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</si>
  <si>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</si>
  <si>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</si>
  <si>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</si>
  <si>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</si>
  <si>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</si>
  <si>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</si>
  <si>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</si>
  <si>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</si>
  <si>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</si>
  <si>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</si>
  <si>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</si>
  <si>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</si>
  <si>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</si>
  <si>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</si>
  <si>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</si>
  <si>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</si>
  <si>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</si>
  <si>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</si>
  <si>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</si>
  <si>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</si>
  <si>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</si>
  <si>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</si>
  <si>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</si>
  <si>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</si>
  <si>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</si>
  <si>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</si>
  <si>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</si>
  <si>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</si>
  <si>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</si>
  <si>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</si>
  <si>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</si>
  <si>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</si>
  <si>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</si>
  <si>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</si>
  <si>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</si>
  <si>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</si>
  <si>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</si>
  <si>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</si>
  <si>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</si>
  <si>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</si>
  <si>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</si>
  <si>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</si>
  <si>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</si>
  <si>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</si>
  <si>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</si>
  <si>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</si>
  <si>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</si>
  <si>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</si>
  <si>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</si>
  <si>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</si>
  <si>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</si>
  <si>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</si>
  <si>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</si>
  <si>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</si>
  <si>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</si>
  <si>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</si>
  <si>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</si>
  <si>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</si>
  <si>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</si>
  <si>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</si>
  <si>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</si>
  <si>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</si>
  <si>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</si>
  <si>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</si>
  <si>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</si>
  <si>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</si>
  <si>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</si>
  <si>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</si>
  <si>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</si>
  <si>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</si>
  <si>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</si>
  <si>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</si>
  <si>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</si>
  <si>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</si>
  <si>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</si>
  <si>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</si>
  <si>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</si>
  <si>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</si>
  <si>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</si>
  <si>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</si>
  <si>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</si>
  <si>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</si>
  <si>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</si>
  <si>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</si>
  <si>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</si>
  <si>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</si>
  <si>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</si>
  <si>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</si>
  <si>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</si>
  <si>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</si>
  <si>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</si>
  <si>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</si>
  <si>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</si>
  <si>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</si>
  <si>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</si>
  <si>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</si>
  <si>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</si>
  <si>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</si>
  <si>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</si>
  <si>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</si>
  <si>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</si>
  <si>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</si>
  <si>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</si>
  <si>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</si>
  <si>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</si>
  <si>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</si>
  <si>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</si>
  <si>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</si>
  <si>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</si>
  <si>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</si>
  <si>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</si>
  <si>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</si>
  <si>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</si>
  <si>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</si>
  <si>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</si>
  <si>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</si>
  <si>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</si>
  <si>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</si>
  <si>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</si>
  <si>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</si>
  <si>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</si>
  <si>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</si>
  <si>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</si>
  <si>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</si>
  <si>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</si>
  <si>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</si>
  <si>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</si>
  <si>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</si>
  <si>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</si>
  <si>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</si>
  <si>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</si>
  <si>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</si>
  <si>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</si>
  <si>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</si>
  <si>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</si>
  <si>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</si>
  <si>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</si>
  <si>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</si>
  <si>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</si>
  <si>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</si>
  <si>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</si>
  <si>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</si>
  <si>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</si>
  <si>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</si>
  <si>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</si>
  <si>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</si>
  <si>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</si>
  <si>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</si>
  <si>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</si>
  <si>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</si>
  <si>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</si>
  <si>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</si>
  <si>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</si>
  <si>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</si>
  <si>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</si>
  <si>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</si>
  <si>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</si>
  <si>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</si>
  <si>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</si>
  <si>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</si>
  <si>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</si>
  <si>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</si>
  <si>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</si>
  <si>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</si>
  <si>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</si>
  <si>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</si>
  <si>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</si>
  <si>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</si>
  <si>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</si>
  <si>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</si>
  <si>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</si>
  <si>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</si>
  <si>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</si>
  <si>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</si>
  <si>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</si>
  <si>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</si>
  <si>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</si>
  <si>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</si>
  <si>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</si>
  <si>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</si>
  <si>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</si>
  <si>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</si>
  <si>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</si>
  <si>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</si>
  <si>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</si>
  <si>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</si>
  <si>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</si>
  <si>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</si>
  <si>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</si>
  <si>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</si>
  <si>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</si>
  <si>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</si>
  <si>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</si>
  <si>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</si>
  <si>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</si>
  <si>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</si>
  <si>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</si>
  <si>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</si>
  <si>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</si>
  <si>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</si>
  <si>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</si>
  <si>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</si>
  <si>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</si>
  <si>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</si>
  <si>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</si>
  <si>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</si>
  <si>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</si>
  <si>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</si>
  <si>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</si>
  <si>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</si>
  <si>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</si>
  <si>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</si>
  <si>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</si>
  <si>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</si>
  <si>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</si>
  <si>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</si>
  <si>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</si>
  <si>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</si>
  <si>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</si>
  <si>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</si>
  <si>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</si>
  <si>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</si>
  <si>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</si>
  <si>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</si>
  <si>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</si>
  <si>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</si>
  <si>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</si>
  <si>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</si>
  <si>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</si>
  <si>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</si>
  <si>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</si>
  <si>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</si>
  <si>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</si>
  <si>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</si>
  <si>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</si>
  <si>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</si>
  <si>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</si>
  <si>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</si>
  <si>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</si>
  <si>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</si>
  <si>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</si>
  <si>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</si>
  <si>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</si>
  <si>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</si>
  <si>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</si>
  <si>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</si>
  <si>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</si>
  <si>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</si>
  <si>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</si>
  <si>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</si>
  <si>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</si>
  <si>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</si>
  <si>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</si>
  <si>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</si>
  <si>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</si>
  <si>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</si>
  <si>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</si>
  <si>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</si>
  <si>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</si>
  <si>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</si>
  <si>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</si>
  <si>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</si>
  <si>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</si>
  <si>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</si>
  <si>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</si>
  <si>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</si>
  <si>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</si>
  <si>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</si>
  <si>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</si>
  <si>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</si>
  <si>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</si>
  <si>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</si>
  <si>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</si>
  <si>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</si>
  <si>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</si>
  <si>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</si>
  <si>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</si>
  <si>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</si>
  <si>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</si>
  <si>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</si>
  <si>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</si>
  <si>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</si>
  <si>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</si>
  <si>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</si>
  <si>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</si>
  <si>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</si>
  <si>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</si>
  <si>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</si>
  <si>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</si>
  <si>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</si>
  <si>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</si>
  <si>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</si>
  <si>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</si>
  <si>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</si>
  <si>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</si>
  <si>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</si>
  <si>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</si>
  <si>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</si>
  <si>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</si>
  <si>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</si>
  <si>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</si>
  <si>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</si>
  <si>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</si>
  <si>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</si>
  <si>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</si>
  <si>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</si>
  <si>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</si>
  <si>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</si>
  <si>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</si>
  <si>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</si>
  <si>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</si>
  <si>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</si>
  <si>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</si>
  <si>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</si>
  <si>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</si>
  <si>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</si>
  <si>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</si>
  <si>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</si>
  <si>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</si>
  <si>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</si>
  <si>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</si>
  <si>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</si>
  <si>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</si>
  <si>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</si>
  <si>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</si>
  <si>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</si>
  <si>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</si>
  <si>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</si>
  <si>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</si>
  <si>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</si>
  <si>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</si>
  <si>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</si>
  <si>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</si>
  <si>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</si>
  <si>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</si>
  <si>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</si>
  <si>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</si>
  <si>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</si>
  <si>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</si>
  <si>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</si>
  <si>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</si>
  <si>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</si>
  <si>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</si>
  <si>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</si>
  <si>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</si>
  <si>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</si>
  <si>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</si>
  <si>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</si>
  <si>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</si>
  <si>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</si>
  <si>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</si>
  <si>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</si>
  <si>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</si>
  <si>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</si>
  <si>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</si>
  <si>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</si>
  <si>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</si>
  <si>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</si>
  <si>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</si>
  <si>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</si>
  <si>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</si>
  <si>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</si>
  <si>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</si>
  <si>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</si>
  <si>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</si>
  <si>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</si>
  <si>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</si>
  <si>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</si>
  <si>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</si>
  <si>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</si>
  <si>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</si>
  <si>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</si>
  <si>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</si>
  <si>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</si>
  <si>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</si>
  <si>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</si>
  <si>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</si>
  <si>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</si>
  <si>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</si>
  <si>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</si>
  <si>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</si>
  <si>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</si>
  <si>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</si>
  <si>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</si>
  <si>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</si>
  <si>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</si>
  <si>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</si>
  <si>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</si>
  <si>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</si>
  <si>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</si>
  <si>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</si>
  <si>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</si>
  <si>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</si>
  <si>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</si>
  <si>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</si>
  <si>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</si>
  <si>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</si>
  <si>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</si>
  <si>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</si>
  <si>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</si>
  <si>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</si>
  <si>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</si>
  <si>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</si>
  <si>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</si>
  <si>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</si>
  <si>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</si>
  <si>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</si>
  <si>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</si>
  <si>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</si>
  <si>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</si>
  <si>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</si>
  <si>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</si>
  <si>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</si>
  <si>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</si>
  <si>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</si>
  <si>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</si>
  <si>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</si>
  <si>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</si>
  <si>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</si>
  <si>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</si>
  <si>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</si>
  <si>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</si>
  <si>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</si>
  <si>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</si>
  <si>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</si>
  <si>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</si>
  <si>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</si>
  <si>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</si>
  <si>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</si>
  <si>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</si>
  <si>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</si>
  <si>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</si>
  <si>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</si>
  <si>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</si>
  <si>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</si>
  <si>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</si>
  <si>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</si>
  <si>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</si>
  <si>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</si>
  <si>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</si>
  <si>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</si>
  <si>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</si>
  <si>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</si>
  <si>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</si>
  <si>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</si>
  <si>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</si>
  <si>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</si>
  <si>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</si>
  <si>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</si>
  <si>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</si>
  <si>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</si>
  <si>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</si>
  <si>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</si>
  <si>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</si>
  <si>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</si>
  <si>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</si>
  <si>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</si>
  <si>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</si>
  <si>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</si>
  <si>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</si>
  <si>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</si>
  <si>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</si>
  <si>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</si>
  <si>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</si>
  <si>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</si>
  <si>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</si>
  <si>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</si>
  <si>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</si>
  <si>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</si>
  <si>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</si>
  <si>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</si>
  <si>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</si>
  <si>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</si>
  <si>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</si>
  <si>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</si>
  <si>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</si>
  <si>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</si>
  <si>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</si>
  <si>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</si>
  <si>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</si>
  <si>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</si>
  <si>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</si>
  <si>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</si>
  <si>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</si>
  <si>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</si>
  <si>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</si>
  <si>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</si>
  <si>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</si>
  <si>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</si>
  <si>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</si>
  <si>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</si>
  <si>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</si>
  <si>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</si>
  <si>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</si>
  <si>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</si>
  <si>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</si>
  <si>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</si>
  <si>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</si>
  <si>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</si>
  <si>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</si>
  <si>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</si>
  <si>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</si>
  <si>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</si>
  <si>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</si>
  <si>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</si>
  <si>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</si>
  <si>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</si>
  <si>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</si>
  <si>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</si>
  <si>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</si>
  <si>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</si>
  <si>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</si>
  <si>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</si>
  <si>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</si>
  <si>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</si>
  <si>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</si>
  <si>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</si>
  <si>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</si>
  <si>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</si>
  <si>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</si>
  <si>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</si>
  <si>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</si>
  <si>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</si>
  <si>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</si>
  <si>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</si>
  <si>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</si>
  <si>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</si>
  <si>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</si>
  <si>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</si>
  <si>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</si>
  <si>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</si>
  <si>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</si>
  <si>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</si>
  <si>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</si>
  <si>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</si>
  <si>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</si>
  <si>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</si>
  <si>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</si>
  <si>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</si>
  <si>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</si>
  <si>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</si>
  <si>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</si>
  <si>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</si>
  <si>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</si>
  <si>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</si>
  <si>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</si>
  <si>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</si>
  <si>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</si>
  <si>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</si>
  <si>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</si>
  <si>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</si>
  <si>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</si>
  <si>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</si>
  <si>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</si>
  <si>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</si>
  <si>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</si>
  <si>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</si>
  <si>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</si>
  <si>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</si>
  <si>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</si>
  <si>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</si>
  <si>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</si>
  <si>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</si>
  <si>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</si>
  <si>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</si>
  <si>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</si>
  <si>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</si>
  <si>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</si>
  <si>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</si>
  <si>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</si>
  <si>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</si>
  <si>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</si>
  <si>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</si>
  <si>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</si>
  <si>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</si>
  <si>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</si>
  <si>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</si>
  <si>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</si>
  <si>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</si>
  <si>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</si>
  <si>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</si>
  <si>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</si>
  <si>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</si>
  <si>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</si>
  <si>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</si>
  <si>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</si>
  <si>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</si>
  <si>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</si>
  <si>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</si>
  <si>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</si>
  <si>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</si>
  <si>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</si>
  <si>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</si>
  <si>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</si>
  <si>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</si>
  <si>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</si>
  <si>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</si>
  <si>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</si>
  <si>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</si>
  <si>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</si>
  <si>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</si>
  <si>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</si>
  <si>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</si>
  <si>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</si>
  <si>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</si>
  <si>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</si>
  <si>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</si>
  <si>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</si>
  <si>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</si>
  <si>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</si>
  <si>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</si>
  <si>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</si>
  <si>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</si>
  <si>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</si>
  <si>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</si>
  <si>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</si>
  <si>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</si>
  <si>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</si>
  <si>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</si>
  <si>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</si>
  <si>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</si>
  <si>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</si>
  <si>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</si>
  <si>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</si>
  <si>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</si>
  <si>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</si>
  <si>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</si>
  <si>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</si>
  <si>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</si>
  <si>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</si>
  <si>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</si>
  <si>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</si>
  <si>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</si>
  <si>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</si>
  <si>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</si>
  <si>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</si>
  <si>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</si>
  <si>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</si>
  <si>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</si>
  <si>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</si>
  <si>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</si>
  <si>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</si>
  <si>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</si>
  <si>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</si>
  <si>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</si>
  <si>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</si>
  <si>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</si>
  <si>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</si>
  <si>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</si>
  <si>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</si>
  <si>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</si>
  <si>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</si>
  <si>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</si>
  <si>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</si>
  <si>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</si>
  <si>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</si>
  <si>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</si>
  <si>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</si>
  <si>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</si>
  <si>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</si>
  <si>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</si>
  <si>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</si>
  <si>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</si>
  <si>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</si>
  <si>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</si>
  <si>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</si>
  <si>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</si>
  <si>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</si>
  <si>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</si>
  <si>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</si>
  <si>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</si>
  <si>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</si>
  <si>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</si>
  <si>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</si>
  <si>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</si>
  <si>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</si>
  <si>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</si>
  <si>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</si>
  <si>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</si>
  <si>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</si>
  <si>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</si>
  <si>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</si>
  <si>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</si>
  <si>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</si>
  <si>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</si>
  <si>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</si>
  <si>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</si>
  <si>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</si>
  <si>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</si>
  <si>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</si>
  <si>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</si>
  <si>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</si>
  <si>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</si>
  <si>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</si>
  <si>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</si>
  <si>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</si>
  <si>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</si>
  <si>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</si>
  <si>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</si>
  <si>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</si>
  <si>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</si>
  <si>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</si>
  <si>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</si>
  <si>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</si>
  <si>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</si>
  <si>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</si>
  <si>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</si>
  <si>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</si>
  <si>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</si>
  <si>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</si>
  <si>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</si>
  <si>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</si>
  <si>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</si>
  <si>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</si>
  <si>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</si>
  <si>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</si>
  <si>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</si>
  <si>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</si>
  <si>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</si>
  <si>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</si>
  <si>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</si>
  <si>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</si>
  <si>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</si>
  <si>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</si>
  <si>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</si>
  <si>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</si>
  <si>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</si>
  <si>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</si>
  <si>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</si>
  <si>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</si>
  <si>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</si>
  <si>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</si>
  <si>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</si>
  <si>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</si>
  <si>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</si>
  <si>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</si>
  <si>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</si>
  <si>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</si>
  <si>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</si>
  <si>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</si>
  <si>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</si>
  <si>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</si>
  <si>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</si>
  <si>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</si>
  <si>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</si>
  <si>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</si>
  <si>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</si>
  <si>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</si>
  <si>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</si>
  <si>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</si>
  <si>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</si>
  <si>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</si>
  <si>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</si>
  <si>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</si>
  <si>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</si>
  <si>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</si>
  <si>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</si>
  <si>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</si>
  <si>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</si>
  <si>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</si>
  <si>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</si>
  <si>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</si>
  <si>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</si>
  <si>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</si>
  <si>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</si>
  <si>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</si>
  <si>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</si>
  <si>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</si>
  <si>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</si>
  <si>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</si>
  <si>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</si>
  <si>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</si>
  <si>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</si>
  <si>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</si>
  <si>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</si>
  <si>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</si>
  <si>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</si>
  <si>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</si>
  <si>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</si>
  <si>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</si>
  <si>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</si>
  <si>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</si>
  <si>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</si>
  <si>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</si>
  <si>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</si>
  <si>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</si>
  <si>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</si>
  <si>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</si>
  <si>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</si>
  <si>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</si>
  <si>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</si>
  <si>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</si>
  <si>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</si>
  <si>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</si>
  <si>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</si>
  <si>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</si>
  <si>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</si>
  <si>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</si>
  <si>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</si>
  <si>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</si>
  <si>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</si>
  <si>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</si>
  <si>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</si>
  <si>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</si>
  <si>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</si>
  <si>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</si>
  <si>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</si>
  <si>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</si>
  <si>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</si>
  <si>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</si>
  <si>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</si>
  <si>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</si>
  <si>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</si>
  <si>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</si>
  <si>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</si>
  <si>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</si>
  <si>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</si>
  <si>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</si>
  <si>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</si>
  <si>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</si>
  <si>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</si>
  <si>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</si>
  <si>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</si>
  <si>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</si>
  <si>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</si>
  <si>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</si>
  <si>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</si>
  <si>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</si>
  <si>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</si>
  <si>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</si>
  <si>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</si>
  <si>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</si>
  <si>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</si>
  <si>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</si>
  <si>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</si>
  <si>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</si>
  <si>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</si>
  <si>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</si>
  <si>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</si>
  <si>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</si>
  <si>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</si>
  <si>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</si>
  <si>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</si>
  <si>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</si>
  <si>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</si>
  <si>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</si>
  <si>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</si>
  <si>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</si>
  <si>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</si>
  <si>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</si>
  <si>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</si>
  <si>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</si>
  <si>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</si>
  <si>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</si>
  <si>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</si>
  <si>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</si>
  <si>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</si>
  <si>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</si>
  <si>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</si>
  <si>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</si>
  <si>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</si>
  <si>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</si>
  <si>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</si>
  <si>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</si>
  <si>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</si>
  <si>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</si>
  <si>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</si>
  <si>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</si>
  <si>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</si>
  <si>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</si>
  <si>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</si>
  <si>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</si>
  <si>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</si>
  <si>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</si>
  <si>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</si>
  <si>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</si>
  <si>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</si>
  <si>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</si>
  <si>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</si>
  <si>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</si>
  <si>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</si>
  <si>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</si>
  <si>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</si>
  <si>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</si>
  <si>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</si>
  <si>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</si>
  <si>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</si>
  <si>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</si>
  <si>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</si>
  <si>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</si>
  <si>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</si>
  <si>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</si>
  <si>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</si>
  <si>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</si>
  <si>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</si>
  <si>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</si>
  <si>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</si>
  <si>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</si>
  <si>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</si>
  <si>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</si>
  <si>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</si>
  <si>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</si>
  <si>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</si>
  <si>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</si>
  <si>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</si>
  <si>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</si>
  <si>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</si>
  <si>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</si>
  <si>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</si>
  <si>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</si>
  <si>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</si>
  <si>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</si>
  <si>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</si>
  <si>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</si>
  <si>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</si>
  <si>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</si>
  <si>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</si>
  <si>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</si>
  <si>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</si>
  <si>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</si>
  <si>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</si>
  <si>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</si>
  <si>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</si>
  <si>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</si>
  <si>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</si>
  <si>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</si>
  <si>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</si>
  <si>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</si>
  <si>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</si>
  <si>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</si>
  <si>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</si>
  <si>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</si>
  <si>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</si>
  <si>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</si>
  <si>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</si>
  <si>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</si>
  <si>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</si>
  <si>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</si>
  <si>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</si>
  <si>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</si>
  <si>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</si>
  <si>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</si>
  <si>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</si>
  <si>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</si>
  <si>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</si>
  <si>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</si>
  <si>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</si>
  <si>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</si>
  <si>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</si>
  <si>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</si>
  <si>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</si>
  <si>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</si>
  <si>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</si>
  <si>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</si>
  <si>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</si>
  <si>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</si>
  <si>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</si>
  <si>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</si>
  <si>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</si>
  <si>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</si>
  <si>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</si>
  <si>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</si>
  <si>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</si>
  <si>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</si>
  <si>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</si>
  <si>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</si>
  <si>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</si>
  <si>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</si>
  <si>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</si>
  <si>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</si>
  <si>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</si>
  <si>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</si>
  <si>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</si>
  <si>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</si>
  <si>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</si>
  <si>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</si>
  <si>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</si>
  <si>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</si>
  <si>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</si>
  <si>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</si>
  <si>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</si>
  <si>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</si>
  <si>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</si>
  <si>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</si>
  <si>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</si>
  <si>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</si>
  <si>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</si>
  <si>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</si>
  <si>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</si>
  <si>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</si>
  <si>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</si>
  <si>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</si>
  <si>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</si>
  <si>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</si>
  <si>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</si>
  <si>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</si>
  <si>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</si>
  <si>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</si>
  <si>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</si>
  <si>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</si>
  <si>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</si>
  <si>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</si>
  <si>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</si>
  <si>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</si>
  <si>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</si>
  <si>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</si>
  <si>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</si>
  <si>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</si>
  <si>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</si>
  <si>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</si>
  <si>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</si>
  <si>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</si>
  <si>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</si>
  <si>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</si>
  <si>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</si>
  <si>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</si>
  <si>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</si>
  <si>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</si>
  <si>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</si>
  <si>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</si>
  <si>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</si>
  <si>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</si>
  <si>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</si>
  <si>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</si>
  <si>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</si>
  <si>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</si>
  <si>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</si>
  <si>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</si>
  <si>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</si>
  <si>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</si>
  <si>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</si>
  <si>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</si>
  <si>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</si>
  <si>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</si>
  <si>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</si>
  <si>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</si>
  <si>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</si>
  <si>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</si>
  <si>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</si>
  <si>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</si>
  <si>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</si>
  <si>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</si>
  <si>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</si>
  <si>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</si>
  <si>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</si>
  <si>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</si>
  <si>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</si>
  <si>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</si>
  <si>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</si>
  <si>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</si>
  <si>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</si>
  <si>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</si>
  <si>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</si>
  <si>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</si>
  <si>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</si>
  <si>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</si>
  <si>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</si>
  <si>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</si>
  <si>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</si>
  <si>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</si>
  <si>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</si>
  <si>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</si>
  <si>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</si>
  <si>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</si>
  <si>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</si>
  <si>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</si>
  <si>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</si>
  <si>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</si>
  <si>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</si>
  <si>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</si>
  <si>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</si>
  <si>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</si>
  <si>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</si>
  <si>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</si>
  <si>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</si>
  <si>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</si>
  <si>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</si>
  <si>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</si>
  <si>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</si>
  <si>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</si>
  <si>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</si>
  <si>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</si>
  <si>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</si>
  <si>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</si>
  <si>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</si>
  <si>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</si>
  <si>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</si>
  <si>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</si>
  <si>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</si>
  <si>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</si>
  <si>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</si>
  <si>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</si>
  <si>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</si>
  <si>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</si>
  <si>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</si>
  <si>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</si>
  <si>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</si>
  <si>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</si>
  <si>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</si>
  <si>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</si>
  <si>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</si>
  <si>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</si>
  <si>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</si>
  <si>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</si>
  <si>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</si>
  <si>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</si>
  <si>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</si>
  <si>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</si>
  <si>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</si>
  <si>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</si>
  <si>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</si>
  <si>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</si>
  <si>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</si>
  <si>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</si>
  <si>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</si>
  <si>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</si>
  <si>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</si>
  <si>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</si>
  <si>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</si>
  <si>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</si>
  <si>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</si>
  <si>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</si>
  <si>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</si>
  <si>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</si>
  <si>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</si>
  <si>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</si>
  <si>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</si>
  <si>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</si>
  <si>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</si>
  <si>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</si>
  <si>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</si>
  <si>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</si>
  <si>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</si>
  <si>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</si>
  <si>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</si>
  <si>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</si>
  <si>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</si>
  <si>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</si>
  <si>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</si>
  <si>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</si>
  <si>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</si>
  <si>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</si>
  <si>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</si>
  <si>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</si>
  <si>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</si>
  <si>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</si>
  <si>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</si>
  <si>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</si>
  <si>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</si>
  <si>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</si>
  <si>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</si>
  <si>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</si>
  <si>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</si>
  <si>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</si>
  <si>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</si>
  <si>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</si>
  <si>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</si>
  <si>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</si>
  <si>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</si>
  <si>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</si>
  <si>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</si>
  <si>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</si>
  <si>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</si>
  <si>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</si>
  <si>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</si>
  <si>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</si>
  <si>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</si>
  <si>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</si>
  <si>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</si>
  <si>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</si>
  <si>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</si>
  <si>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</si>
  <si>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</si>
  <si>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</si>
  <si>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</si>
  <si>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</si>
  <si>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</si>
  <si>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</si>
  <si>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</si>
  <si>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</si>
  <si>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</si>
  <si>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</si>
  <si>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</si>
  <si>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</si>
  <si>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</si>
  <si>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</si>
  <si>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</si>
  <si>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</si>
  <si>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</si>
  <si>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</si>
  <si>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</si>
  <si>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</si>
  <si>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</si>
  <si>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</si>
  <si>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</si>
  <si>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</si>
  <si>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</si>
  <si>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</si>
  <si>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</si>
  <si>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</si>
  <si>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</si>
  <si>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</si>
  <si>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</si>
  <si>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</si>
  <si>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</si>
  <si>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</si>
  <si>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</si>
  <si>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</si>
  <si>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</si>
  <si>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</si>
  <si>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</si>
  <si>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</si>
  <si>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</si>
  <si>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</si>
  <si>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</si>
  <si>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</si>
  <si>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</si>
  <si>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</si>
  <si>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</si>
  <si>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</si>
  <si>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</si>
  <si>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</si>
  <si>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</si>
  <si>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</si>
  <si>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</si>
  <si>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</si>
  <si>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</si>
  <si>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</si>
  <si>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</si>
  <si>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</si>
  <si>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</si>
  <si>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</si>
  <si>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</si>
  <si>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</si>
  <si>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</si>
  <si>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</si>
  <si>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</si>
  <si>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</si>
  <si>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</si>
  <si>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</si>
  <si>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</si>
  <si>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</si>
  <si>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</si>
  <si>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</si>
  <si>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</si>
  <si>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</si>
  <si>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</si>
  <si>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</si>
  <si>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</si>
  <si>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</si>
  <si>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</si>
  <si>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</si>
  <si>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</si>
  <si>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</si>
  <si>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</si>
  <si>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</si>
  <si>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</si>
  <si>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</si>
  <si>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</si>
  <si>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</si>
  <si>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</si>
  <si>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</si>
  <si>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</si>
  <si>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</si>
  <si>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</si>
  <si>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</si>
  <si>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</si>
  <si>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</si>
  <si>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</si>
  <si>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</si>
  <si>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</si>
  <si>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</si>
  <si>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</si>
  <si>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</si>
  <si>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</si>
  <si>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</si>
  <si>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</si>
  <si>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</si>
  <si>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</si>
  <si>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</si>
  <si>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</si>
  <si>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</si>
  <si>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</si>
  <si>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</si>
  <si>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</si>
  <si>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</si>
  <si>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</si>
  <si>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</si>
  <si>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</si>
  <si>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</si>
  <si>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</si>
  <si>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</si>
  <si>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</si>
  <si>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</si>
  <si>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</si>
  <si>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</si>
  <si>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</si>
  <si>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</si>
  <si>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</si>
  <si>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</si>
  <si>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</si>
  <si>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</si>
  <si>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</si>
  <si>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</si>
  <si>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</si>
  <si>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</si>
  <si>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</si>
  <si>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</si>
  <si>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</si>
  <si>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</si>
  <si>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</si>
  <si>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</si>
  <si>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</si>
  <si>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</si>
  <si>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</si>
  <si>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</si>
  <si>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</si>
  <si>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</si>
  <si>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</si>
  <si>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</si>
  <si>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</si>
  <si>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</si>
  <si>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</si>
  <si>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</si>
  <si>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</si>
  <si>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</si>
  <si>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</si>
  <si>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</si>
  <si>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</si>
  <si>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</si>
  <si>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</si>
  <si>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</si>
  <si>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</si>
  <si>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</si>
  <si>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</si>
  <si>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</si>
  <si>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</si>
  <si>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</si>
  <si>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</si>
  <si>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</si>
  <si>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</si>
  <si>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</si>
  <si>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</si>
  <si>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</si>
  <si>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</si>
  <si>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</si>
  <si>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</si>
  <si>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</si>
  <si>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</si>
  <si>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</si>
  <si>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</si>
  <si>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</si>
  <si>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</si>
  <si>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</si>
  <si>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</si>
  <si>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</si>
  <si>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</si>
  <si>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</si>
  <si>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</si>
  <si>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</si>
  <si>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</si>
  <si>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</si>
  <si>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</si>
  <si>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</si>
  <si>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</si>
  <si>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</si>
  <si>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</si>
  <si>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</si>
  <si>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</si>
  <si>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</si>
  <si>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</si>
  <si>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</si>
  <si>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</si>
  <si>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</si>
  <si>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</si>
  <si>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</si>
  <si>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</si>
  <si>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</si>
  <si>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</si>
  <si>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</si>
  <si>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</si>
  <si>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</si>
  <si>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</si>
  <si>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</si>
  <si>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</si>
  <si>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</si>
  <si>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</si>
  <si>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</si>
  <si>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</si>
  <si>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</si>
  <si>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</si>
  <si>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</si>
  <si>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</si>
  <si>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</si>
  <si>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</si>
  <si>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</si>
  <si>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</si>
  <si>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</si>
  <si>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</si>
  <si>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</si>
  <si>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</si>
  <si>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</si>
  <si>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</si>
  <si>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</si>
  <si>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</si>
  <si>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</si>
  <si>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</si>
  <si>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</si>
  <si>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</si>
  <si>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</si>
  <si>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</si>
  <si>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</si>
  <si>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</si>
  <si>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</si>
  <si>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</si>
  <si>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</si>
  <si>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</si>
  <si>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</si>
  <si>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</si>
  <si>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</si>
  <si>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</si>
  <si>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</si>
  <si>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</si>
  <si>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</si>
  <si>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</si>
  <si>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</si>
  <si>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</si>
  <si>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</si>
  <si>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</si>
  <si>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</si>
  <si>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</si>
  <si>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</si>
  <si>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</si>
  <si>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</si>
  <si>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</si>
  <si>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</si>
  <si>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</si>
  <si>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</si>
  <si>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</si>
  <si>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</si>
  <si>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</si>
  <si>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</si>
  <si>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</si>
  <si>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</si>
  <si>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</si>
  <si>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</si>
  <si>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</si>
  <si>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</si>
  <si>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</si>
  <si>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</si>
  <si>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</si>
  <si>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</si>
  <si>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</si>
  <si>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</si>
  <si>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</si>
  <si>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</si>
  <si>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</si>
  <si>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</si>
  <si>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</si>
  <si>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</si>
  <si>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</si>
  <si>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</si>
  <si>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</si>
  <si>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</si>
  <si>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</si>
  <si>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</si>
  <si>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</si>
  <si>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</si>
  <si>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</si>
  <si>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</si>
  <si>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</si>
  <si>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</si>
  <si>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</si>
  <si>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</si>
  <si>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</si>
  <si>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</si>
  <si>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</si>
  <si>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</si>
  <si>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</si>
  <si>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</si>
  <si>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</si>
  <si>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</si>
  <si>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</si>
  <si>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</si>
  <si>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</si>
  <si>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</si>
  <si>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</si>
  <si>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</si>
  <si>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</si>
  <si>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</si>
  <si>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</si>
  <si>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</si>
  <si>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</si>
  <si>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</si>
  <si>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</si>
  <si>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</si>
  <si>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</si>
  <si>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</si>
  <si>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</si>
  <si>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</si>
  <si>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</si>
  <si>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</si>
  <si>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</si>
  <si>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</si>
  <si>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</si>
  <si>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</si>
  <si>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</si>
  <si>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</si>
  <si>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</si>
  <si>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</si>
  <si>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</si>
  <si>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</si>
  <si>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</si>
  <si>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</si>
  <si>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</si>
  <si>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</si>
  <si>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</si>
  <si>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</si>
  <si>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</si>
  <si>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</si>
  <si>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</si>
  <si>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</si>
  <si>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</si>
  <si>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</si>
  <si>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</si>
  <si>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</si>
  <si>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</si>
  <si>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</si>
  <si>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</si>
  <si>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</si>
  <si>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</si>
  <si>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</si>
  <si>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</si>
  <si>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</si>
  <si>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</si>
  <si>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</si>
  <si>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</si>
  <si>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</si>
  <si>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</si>
  <si>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</si>
  <si>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</si>
  <si>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</si>
  <si>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</si>
  <si>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</si>
  <si>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</si>
  <si>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</si>
  <si>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</si>
  <si>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</si>
  <si>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</si>
  <si>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</si>
  <si>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</si>
  <si>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</si>
  <si>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</si>
  <si>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</si>
  <si>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</si>
  <si>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</si>
  <si>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</si>
  <si>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</si>
  <si>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</si>
  <si>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</si>
  <si>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</si>
  <si>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</si>
  <si>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</si>
  <si>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</si>
  <si>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</si>
  <si>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</si>
  <si>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</si>
  <si>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</si>
  <si>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</si>
  <si>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</si>
  <si>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</si>
  <si>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</si>
  <si>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</si>
  <si>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</si>
  <si>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</si>
  <si>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</si>
  <si>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</si>
  <si>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</si>
  <si>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</si>
  <si>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</si>
  <si>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</si>
  <si>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</si>
  <si>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</si>
  <si>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</si>
  <si>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</si>
  <si>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</si>
  <si>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</si>
  <si>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</si>
  <si>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</si>
  <si>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</si>
  <si>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UNIVERSIDAD DE GUANAJUATO</t>
  </si>
  <si>
    <t>Al 31 de diciembre de 2017 y al 31 de diciembre de 2018 (b)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</si>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</sst>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</cellStyleXfs>
  <cellXfs count="1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165" fontId="0" fillId="0" borderId="0" xfId="0" applyNumberFormat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50" t="s">
        <v>829</v>
      </c>
      <c r="B1" s="151"/>
      <c r="C1" s="151"/>
      <c r="D1" s="151"/>
      <c r="E1" s="152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3" t="s">
        <v>3302</v>
      </c>
      <c r="D3" s="153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6" t="s">
        <v>542</v>
      </c>
      <c r="B1" s="166"/>
      <c r="C1" s="166"/>
      <c r="D1" s="166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4" t="str">
        <f>ENTE_PUBLICO_A</f>
        <v>UNIVERSIDAD DE GUANAJUATO, Gobierno del Estado de Guanajuato (a)</v>
      </c>
      <c r="B2" s="155"/>
      <c r="C2" s="155"/>
      <c r="D2" s="156"/>
    </row>
    <row r="3" spans="1:11" ht="14.25" x14ac:dyDescent="0.45">
      <c r="A3" s="157" t="s">
        <v>166</v>
      </c>
      <c r="B3" s="158"/>
      <c r="C3" s="158"/>
      <c r="D3" s="159"/>
    </row>
    <row r="4" spans="1:11" ht="14.25" x14ac:dyDescent="0.45">
      <c r="A4" s="160" t="str">
        <f>TRIMESTRE</f>
        <v>Del 1 de enero al 31 de diciembre de 2018 (b)</v>
      </c>
      <c r="B4" s="161"/>
      <c r="C4" s="161"/>
      <c r="D4" s="162"/>
    </row>
    <row r="5" spans="1:11" ht="14.25" x14ac:dyDescent="0.45">
      <c r="A5" s="163" t="s">
        <v>118</v>
      </c>
      <c r="B5" s="164"/>
      <c r="C5" s="164"/>
      <c r="D5" s="165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3698199757.0500011</v>
      </c>
      <c r="C8" s="40">
        <f t="shared" ref="C8:D8" si="0">SUM(C9:C11)</f>
        <v>3327139280.8599997</v>
      </c>
      <c r="D8" s="40">
        <f t="shared" si="0"/>
        <v>3314597976.02</v>
      </c>
    </row>
    <row r="9" spans="1:11" x14ac:dyDescent="0.25">
      <c r="A9" s="53" t="s">
        <v>169</v>
      </c>
      <c r="B9" s="23">
        <v>1623186833.3900008</v>
      </c>
      <c r="C9" s="23">
        <v>1343969633.6899996</v>
      </c>
      <c r="D9" s="23">
        <v>1343969633.8499999</v>
      </c>
    </row>
    <row r="10" spans="1:11" x14ac:dyDescent="0.25">
      <c r="A10" s="53" t="s">
        <v>170</v>
      </c>
      <c r="B10" s="23">
        <v>2075012923.6600001</v>
      </c>
      <c r="C10" s="23">
        <v>1983169647.1700001</v>
      </c>
      <c r="D10" s="23">
        <v>1970628342.1700001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0</v>
      </c>
      <c r="C13" s="40">
        <f t="shared" ref="C13:D13" si="2">C14+C15</f>
        <v>0</v>
      </c>
      <c r="D13" s="40">
        <f t="shared" si="2"/>
        <v>0</v>
      </c>
    </row>
    <row r="14" spans="1:11" x14ac:dyDescent="0.25">
      <c r="A14" s="53" t="s">
        <v>172</v>
      </c>
      <c r="B14" s="23">
        <v>0</v>
      </c>
      <c r="C14" s="23">
        <v>0</v>
      </c>
      <c r="D14" s="23">
        <v>0</v>
      </c>
    </row>
    <row r="15" spans="1:11" x14ac:dyDescent="0.25">
      <c r="A15" s="53" t="s">
        <v>173</v>
      </c>
      <c r="B15" s="23">
        <v>0</v>
      </c>
      <c r="C15" s="23">
        <v>0</v>
      </c>
      <c r="D15" s="23">
        <v>0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ht="14.25" x14ac:dyDescent="0.4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3698199757.0500011</v>
      </c>
      <c r="C21" s="40">
        <f t="shared" ref="C21:D21" si="4">C8-C13+C17</f>
        <v>3327139280.8599997</v>
      </c>
      <c r="D21" s="40">
        <f t="shared" si="4"/>
        <v>3314597976.02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3698199757.0500011</v>
      </c>
      <c r="C23" s="40">
        <f t="shared" ref="C23:D23" si="5">C21-C11</f>
        <v>3327139280.8599997</v>
      </c>
      <c r="D23" s="40">
        <f t="shared" si="5"/>
        <v>3314597976.02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3698199757.0500011</v>
      </c>
      <c r="C25" s="40">
        <f t="shared" ref="C25" si="6">C23-C17</f>
        <v>3327139280.8599997</v>
      </c>
      <c r="D25" s="40">
        <f>D23-D17</f>
        <v>3314597976.02</v>
      </c>
    </row>
    <row r="26" spans="1:4" ht="14.25" x14ac:dyDescent="0.45">
      <c r="A26" s="121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ht="14.25" x14ac:dyDescent="0.4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ht="14.25" x14ac:dyDescent="0.45">
      <c r="A30" s="53" t="s">
        <v>187</v>
      </c>
      <c r="B30" s="60">
        <v>0</v>
      </c>
      <c r="C30" s="60">
        <v>0</v>
      </c>
      <c r="D30" s="60">
        <v>0</v>
      </c>
    </row>
    <row r="31" spans="1:4" ht="14.25" x14ac:dyDescent="0.45">
      <c r="A31" s="53" t="s">
        <v>188</v>
      </c>
      <c r="B31" s="60">
        <v>0</v>
      </c>
      <c r="C31" s="60">
        <v>0</v>
      </c>
      <c r="D31" s="60">
        <v>0</v>
      </c>
    </row>
    <row r="32" spans="1:4" ht="14.25" x14ac:dyDescent="0.4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3698199757.0500011</v>
      </c>
      <c r="C33" s="61">
        <f t="shared" ref="C33:D33" si="8">C25+C29</f>
        <v>3327139280.8599997</v>
      </c>
      <c r="D33" s="61">
        <f t="shared" si="8"/>
        <v>3314597976.02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1623186833.3900008</v>
      </c>
      <c r="C48" s="124">
        <f>C9</f>
        <v>1343969633.6899996</v>
      </c>
      <c r="D48" s="124">
        <f t="shared" ref="D48" si="12">D9</f>
        <v>1343969633.8499999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0</v>
      </c>
      <c r="C53" s="60">
        <f t="shared" ref="C53:D53" si="14">C14</f>
        <v>0</v>
      </c>
      <c r="D53" s="60">
        <f t="shared" si="14"/>
        <v>0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1623186833.3900008</v>
      </c>
      <c r="C57" s="61">
        <f>C48+C49-C53+C55</f>
        <v>1343969633.6899996</v>
      </c>
      <c r="D57" s="61">
        <f t="shared" ref="D57" si="16">D48+D49-D53+D55</f>
        <v>1343969633.8499999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1623186833.3900008</v>
      </c>
      <c r="C59" s="61">
        <f t="shared" ref="C59:D59" si="17">C57-C49</f>
        <v>1343969633.6899996</v>
      </c>
      <c r="D59" s="61">
        <f t="shared" si="17"/>
        <v>1343969633.8499999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2075012923.6600001</v>
      </c>
      <c r="C63" s="122">
        <f t="shared" ref="C63:D63" si="18">C10</f>
        <v>1983169647.1700001</v>
      </c>
      <c r="D63" s="122">
        <f t="shared" si="18"/>
        <v>1970628342.1700001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20">C15</f>
        <v>0</v>
      </c>
      <c r="D68" s="23">
        <f t="shared" si="20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2075012923.6600001</v>
      </c>
      <c r="C72" s="40">
        <f t="shared" ref="C72:D72" si="22">C63+C64-C68+C70</f>
        <v>1983169647.1700001</v>
      </c>
      <c r="D72" s="40">
        <f t="shared" si="22"/>
        <v>1970628342.1700001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2075012923.6600001</v>
      </c>
      <c r="C74" s="40">
        <f>C72-C64</f>
        <v>1983169647.1700001</v>
      </c>
      <c r="D74" s="40">
        <f t="shared" ref="D74" si="23">D72-D64</f>
        <v>1970628342.1700001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3698199757.0500011</v>
      </c>
      <c r="Q2" s="18">
        <f>'Formato 4'!C8</f>
        <v>3327139280.8599997</v>
      </c>
      <c r="R2" s="18">
        <f>'Formato 4'!D8</f>
        <v>3314597976.02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1623186833.3900008</v>
      </c>
      <c r="Q3" s="18">
        <f>'Formato 4'!C9</f>
        <v>1343969633.6899996</v>
      </c>
      <c r="R3" s="18">
        <f>'Formato 4'!D9</f>
        <v>1343969633.8499999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2075012923.6600001</v>
      </c>
      <c r="Q4" s="18">
        <f>'Formato 4'!C10</f>
        <v>1983169647.1700001</v>
      </c>
      <c r="R4" s="18">
        <f>'Formato 4'!D10</f>
        <v>1970628342.1700001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0</v>
      </c>
      <c r="Q6" s="18">
        <f>'Formato 4'!C13</f>
        <v>0</v>
      </c>
      <c r="R6" s="18">
        <f>'Formato 4'!D13</f>
        <v>0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0</v>
      </c>
      <c r="Q7" s="18">
        <f>'Formato 4'!C14</f>
        <v>0</v>
      </c>
      <c r="R7" s="18">
        <f>'Formato 4'!D14</f>
        <v>0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3698199757.0500011</v>
      </c>
      <c r="Q12" s="18">
        <f>'Formato 4'!C21</f>
        <v>3327139280.8599997</v>
      </c>
      <c r="R12" s="18">
        <f>'Formato 4'!D21</f>
        <v>3314597976.02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3698199757.0500011</v>
      </c>
      <c r="Q13" s="18">
        <f>'Formato 4'!C23</f>
        <v>3327139280.8599997</v>
      </c>
      <c r="R13" s="18">
        <f>'Formato 4'!D23</f>
        <v>3314597976.02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3698199757.0500011</v>
      </c>
      <c r="Q14" s="18">
        <f>'Formato 4'!C25</f>
        <v>3327139280.8599997</v>
      </c>
      <c r="R14" s="18">
        <f>'Formato 4'!D25</f>
        <v>3314597976.02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3698199757.0500011</v>
      </c>
      <c r="Q18">
        <f>'Formato 4'!C33</f>
        <v>3327139280.8599997</v>
      </c>
      <c r="R18">
        <f>'Formato 4'!D33</f>
        <v>3314597976.02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1623186833.3900008</v>
      </c>
      <c r="Q26">
        <f>'Formato 4'!C48</f>
        <v>1343969633.6899996</v>
      </c>
      <c r="R26">
        <f>'Formato 4'!D48</f>
        <v>1343969633.8499999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0</v>
      </c>
      <c r="Q30">
        <f>'Formato 4'!C53</f>
        <v>0</v>
      </c>
      <c r="R30">
        <f>'Formato 4'!D53</f>
        <v>0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2075012923.6600001</v>
      </c>
      <c r="Q32">
        <f>'Formato 4'!C63</f>
        <v>1983169647.1700001</v>
      </c>
      <c r="R32">
        <f>'Formato 4'!D63</f>
        <v>1970628342.1700001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ht="14.25" x14ac:dyDescent="0.4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2075012923.6600001</v>
      </c>
      <c r="Q38">
        <f>'Formato 4'!C72</f>
        <v>1983169647.1700001</v>
      </c>
      <c r="R38">
        <f>'Formato 4'!D72</f>
        <v>1970628342.1700001</v>
      </c>
    </row>
    <row r="39" spans="1:18" ht="14.25" x14ac:dyDescent="0.4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2075012923.6600001</v>
      </c>
      <c r="Q39">
        <f>'Formato 4'!C74</f>
        <v>1983169647.1700001</v>
      </c>
      <c r="R39">
        <f>'Formato 4'!D74</f>
        <v>1970628342.1700001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activeCell="D75" sqref="D7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2" t="s">
        <v>206</v>
      </c>
      <c r="B1" s="172"/>
      <c r="C1" s="172"/>
      <c r="D1" s="172"/>
      <c r="E1" s="172"/>
      <c r="F1" s="172"/>
      <c r="G1" s="172"/>
    </row>
    <row r="2" spans="1:8" ht="14.25" x14ac:dyDescent="0.45">
      <c r="A2" s="154" t="str">
        <f>ENTE_PUBLICO_A</f>
        <v>UNIVERSIDAD DE GUANAJUATO, Gobierno del Estado de Guanajuato (a)</v>
      </c>
      <c r="B2" s="155"/>
      <c r="C2" s="155"/>
      <c r="D2" s="155"/>
      <c r="E2" s="155"/>
      <c r="F2" s="155"/>
      <c r="G2" s="156"/>
    </row>
    <row r="3" spans="1:8" x14ac:dyDescent="0.25">
      <c r="A3" s="157" t="s">
        <v>207</v>
      </c>
      <c r="B3" s="158"/>
      <c r="C3" s="158"/>
      <c r="D3" s="158"/>
      <c r="E3" s="158"/>
      <c r="F3" s="158"/>
      <c r="G3" s="159"/>
    </row>
    <row r="4" spans="1:8" ht="14.25" x14ac:dyDescent="0.45">
      <c r="A4" s="160" t="str">
        <f>TRIMESTRE</f>
        <v>Del 1 de enero al 31 de diciembre de 2018 (b)</v>
      </c>
      <c r="B4" s="161"/>
      <c r="C4" s="161"/>
      <c r="D4" s="161"/>
      <c r="E4" s="161"/>
      <c r="F4" s="161"/>
      <c r="G4" s="162"/>
    </row>
    <row r="5" spans="1:8" ht="14.25" x14ac:dyDescent="0.45">
      <c r="A5" s="163" t="s">
        <v>118</v>
      </c>
      <c r="B5" s="164"/>
      <c r="C5" s="164"/>
      <c r="D5" s="164"/>
      <c r="E5" s="164"/>
      <c r="F5" s="164"/>
      <c r="G5" s="165"/>
    </row>
    <row r="6" spans="1:8" x14ac:dyDescent="0.25">
      <c r="A6" s="169" t="s">
        <v>214</v>
      </c>
      <c r="B6" s="171" t="s">
        <v>208</v>
      </c>
      <c r="C6" s="171"/>
      <c r="D6" s="171"/>
      <c r="E6" s="171"/>
      <c r="F6" s="171"/>
      <c r="G6" s="171" t="s">
        <v>209</v>
      </c>
    </row>
    <row r="7" spans="1:8" ht="30" x14ac:dyDescent="0.25">
      <c r="A7" s="170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1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8"/>
    </row>
    <row r="10" spans="1:8" x14ac:dyDescent="0.25">
      <c r="A10" s="53" t="s">
        <v>217</v>
      </c>
      <c r="B10" s="60">
        <v>0</v>
      </c>
      <c r="C10" s="60">
        <v>38236433.859999806</v>
      </c>
      <c r="D10" s="60">
        <v>38236433.859999806</v>
      </c>
      <c r="E10" s="60">
        <v>38236433.859999813</v>
      </c>
      <c r="F10" s="60">
        <v>38236433.859999999</v>
      </c>
      <c r="G10" s="60">
        <v>38236433.859999999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8" x14ac:dyDescent="0.25">
      <c r="A13" s="53" t="s">
        <v>220</v>
      </c>
      <c r="B13" s="60">
        <v>37219715</v>
      </c>
      <c r="C13" s="60">
        <v>30640827.419999998</v>
      </c>
      <c r="D13" s="60">
        <v>67860542.420000002</v>
      </c>
      <c r="E13" s="60">
        <v>67860542.419999987</v>
      </c>
      <c r="F13" s="60">
        <v>67860542.419999987</v>
      </c>
      <c r="G13" s="60">
        <v>30640827.419999987</v>
      </c>
    </row>
    <row r="14" spans="1:8" x14ac:dyDescent="0.25">
      <c r="A14" s="53" t="s">
        <v>221</v>
      </c>
      <c r="B14" s="60">
        <v>380138637</v>
      </c>
      <c r="C14" s="60">
        <v>-670494.32999981195</v>
      </c>
      <c r="D14" s="60">
        <v>379468142.6700002</v>
      </c>
      <c r="E14" s="60">
        <v>379468142.67000014</v>
      </c>
      <c r="F14" s="60">
        <v>379468142.67000014</v>
      </c>
      <c r="G14" s="60">
        <v>-670494.3299998641</v>
      </c>
    </row>
    <row r="15" spans="1:8" x14ac:dyDescent="0.25">
      <c r="A15" s="53" t="s">
        <v>222</v>
      </c>
      <c r="B15" s="60">
        <v>3319063</v>
      </c>
      <c r="C15" s="60">
        <v>1790552.2</v>
      </c>
      <c r="D15" s="60">
        <v>5109615.2</v>
      </c>
      <c r="E15" s="60">
        <v>5109615.1999999993</v>
      </c>
      <c r="F15" s="60">
        <v>5109615.1999999993</v>
      </c>
      <c r="G15" s="60">
        <v>1790552.1999999993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0">SUM(C17:C27)</f>
        <v>0</v>
      </c>
      <c r="D16" s="60">
        <f t="shared" si="0"/>
        <v>0</v>
      </c>
      <c r="E16" s="60">
        <f t="shared" si="0"/>
        <v>0</v>
      </c>
      <c r="F16" s="60">
        <f t="shared" si="0"/>
        <v>0</v>
      </c>
      <c r="G16" s="60">
        <f>SUM(G17:G27)</f>
        <v>0</v>
      </c>
    </row>
    <row r="17" spans="1:7" ht="14.25" x14ac:dyDescent="0.4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ht="14.25" x14ac:dyDescent="0.4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1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1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1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1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1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1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1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1"/>
        <v>0</v>
      </c>
    </row>
    <row r="26" spans="1:7" ht="14.25" x14ac:dyDescent="0.4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1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1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3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3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3"/>
        <v>0</v>
      </c>
    </row>
    <row r="34" spans="1:8" ht="14.25" x14ac:dyDescent="0.4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3"/>
        <v>0</v>
      </c>
    </row>
    <row r="35" spans="1:8" ht="14.25" x14ac:dyDescent="0.45">
      <c r="A35" s="53" t="s">
        <v>241</v>
      </c>
      <c r="B35" s="60">
        <f t="shared" ref="B35:G35" si="4">B36</f>
        <v>1202509418.3900001</v>
      </c>
      <c r="C35" s="60">
        <f t="shared" si="4"/>
        <v>-349214518.69</v>
      </c>
      <c r="D35" s="60">
        <f t="shared" si="4"/>
        <v>853294899.70000005</v>
      </c>
      <c r="E35" s="60">
        <f t="shared" si="4"/>
        <v>853294899.69999993</v>
      </c>
      <c r="F35" s="60">
        <f t="shared" si="4"/>
        <v>853294899.69999993</v>
      </c>
      <c r="G35" s="60">
        <f t="shared" si="4"/>
        <v>-349214518.69000018</v>
      </c>
    </row>
    <row r="36" spans="1:8" x14ac:dyDescent="0.25">
      <c r="A36" s="63" t="s">
        <v>242</v>
      </c>
      <c r="B36" s="60">
        <v>1202509418.3900001</v>
      </c>
      <c r="C36" s="60">
        <v>-349214518.69</v>
      </c>
      <c r="D36" s="60">
        <v>853294899.70000005</v>
      </c>
      <c r="E36" s="60">
        <v>853294899.69999993</v>
      </c>
      <c r="F36" s="60">
        <v>853294899.69999993</v>
      </c>
      <c r="G36" s="60">
        <f>F36-B36</f>
        <v>-349214518.69000018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ht="14.25" x14ac:dyDescent="0.4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1623186833.3900001</v>
      </c>
      <c r="C41" s="61">
        <f t="shared" ref="C41:E41" si="6">SUM(C9,C10,C11,C12,C13,C14,C15,C16,C28,C34,C35,C37)</f>
        <v>-279217199.54000002</v>
      </c>
      <c r="D41" s="61">
        <f t="shared" si="6"/>
        <v>1343969633.8499999</v>
      </c>
      <c r="E41" s="61">
        <f t="shared" si="6"/>
        <v>1343969633.8499999</v>
      </c>
      <c r="F41" s="61">
        <f>SUM(F9,F10,F11,F12,F13,F14,F15,F16,F28,F34,F35,F37)</f>
        <v>1343969633.8499999</v>
      </c>
      <c r="G41" s="61">
        <f>SUM(G9,G10,G11,G12,G13,G14,G15,G16,G28,G34,G35,G37)</f>
        <v>-279217199.54000008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131000000</v>
      </c>
      <c r="C45" s="60">
        <f t="shared" ref="C45:G45" si="7">SUM(C46:C53)</f>
        <v>-41714372.529999986</v>
      </c>
      <c r="D45" s="60">
        <f t="shared" si="7"/>
        <v>89285627.470000014</v>
      </c>
      <c r="E45" s="60">
        <f t="shared" si="7"/>
        <v>89285627.470000029</v>
      </c>
      <c r="F45" s="60">
        <f t="shared" si="7"/>
        <v>89285627.470000029</v>
      </c>
      <c r="G45" s="60">
        <f t="shared" si="7"/>
        <v>-41714372.529999971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131000000</v>
      </c>
      <c r="C50" s="60">
        <v>-41714372.529999986</v>
      </c>
      <c r="D50" s="60">
        <v>89285627.470000014</v>
      </c>
      <c r="E50" s="60">
        <v>89285627.470000029</v>
      </c>
      <c r="F50" s="60">
        <v>89285627.470000029</v>
      </c>
      <c r="G50" s="60">
        <f t="shared" si="8"/>
        <v>-41714372.529999971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1731732233</v>
      </c>
      <c r="C62" s="60">
        <v>36175175</v>
      </c>
      <c r="D62" s="60">
        <v>1767907408</v>
      </c>
      <c r="E62" s="60">
        <v>1767907408</v>
      </c>
      <c r="F62" s="60">
        <v>1755366103</v>
      </c>
      <c r="G62" s="60">
        <f>F62-B62</f>
        <v>23633870</v>
      </c>
    </row>
    <row r="63" spans="1:7" x14ac:dyDescent="0.25">
      <c r="A63" s="53" t="s">
        <v>266</v>
      </c>
      <c r="B63" s="60">
        <v>212280690.66000009</v>
      </c>
      <c r="C63" s="60">
        <v>-86304078.960000038</v>
      </c>
      <c r="D63" s="60">
        <v>125976611.70000005</v>
      </c>
      <c r="E63" s="60">
        <v>125976611.70000005</v>
      </c>
      <c r="F63" s="60">
        <v>125976611.70000005</v>
      </c>
      <c r="G63" s="60">
        <f>F63-B63</f>
        <v>-86304078.960000038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2075012923.6600001</v>
      </c>
      <c r="C65" s="61">
        <f t="shared" ref="C65:G65" si="12">C45+C54+C59+C62+C63</f>
        <v>-91843276.490000024</v>
      </c>
      <c r="D65" s="61">
        <f t="shared" si="12"/>
        <v>1983169647.1700001</v>
      </c>
      <c r="E65" s="61">
        <f t="shared" si="12"/>
        <v>1983169647.1700001</v>
      </c>
      <c r="F65" s="61">
        <f t="shared" si="12"/>
        <v>1970628342.1700001</v>
      </c>
      <c r="G65" s="61">
        <f t="shared" si="12"/>
        <v>-104384581.49000001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3698199757.0500002</v>
      </c>
      <c r="C70" s="61">
        <f t="shared" ref="C70:G70" si="14">C41+C65+C67</f>
        <v>-371060476.03000003</v>
      </c>
      <c r="D70" s="61">
        <f t="shared" si="14"/>
        <v>3327139281.02</v>
      </c>
      <c r="E70" s="61">
        <f t="shared" si="14"/>
        <v>3327139281.02</v>
      </c>
      <c r="F70" s="61">
        <f t="shared" si="14"/>
        <v>3314597976.02</v>
      </c>
      <c r="G70" s="61">
        <f t="shared" si="14"/>
        <v>-383601781.03000009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38236433.859999806</v>
      </c>
      <c r="R4" s="18">
        <f>'Formato 5'!D10</f>
        <v>38236433.859999806</v>
      </c>
      <c r="S4" s="18">
        <f>'Formato 5'!E10</f>
        <v>38236433.859999813</v>
      </c>
      <c r="T4" s="18">
        <f>'Formato 5'!F10</f>
        <v>38236433.859999999</v>
      </c>
      <c r="U4" s="18">
        <f>'Formato 5'!G10</f>
        <v>38236433.859999999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37219715</v>
      </c>
      <c r="Q7" s="18">
        <f>'Formato 5'!C13</f>
        <v>30640827.419999998</v>
      </c>
      <c r="R7" s="18">
        <f>'Formato 5'!D13</f>
        <v>67860542.420000002</v>
      </c>
      <c r="S7" s="18">
        <f>'Formato 5'!E13</f>
        <v>67860542.419999987</v>
      </c>
      <c r="T7" s="18">
        <f>'Formato 5'!F13</f>
        <v>67860542.419999987</v>
      </c>
      <c r="U7" s="18">
        <f>'Formato 5'!G13</f>
        <v>30640827.419999987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380138637</v>
      </c>
      <c r="Q8" s="18">
        <f>'Formato 5'!C14</f>
        <v>-670494.32999981195</v>
      </c>
      <c r="R8" s="18">
        <f>'Formato 5'!D14</f>
        <v>379468142.6700002</v>
      </c>
      <c r="S8" s="18">
        <f>'Formato 5'!E14</f>
        <v>379468142.67000014</v>
      </c>
      <c r="T8" s="18">
        <f>'Formato 5'!F14</f>
        <v>379468142.67000014</v>
      </c>
      <c r="U8" s="18">
        <f>'Formato 5'!G14</f>
        <v>-670494.3299998641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3319063</v>
      </c>
      <c r="Q9" s="18">
        <f>'Formato 5'!C15</f>
        <v>1790552.2</v>
      </c>
      <c r="R9" s="18">
        <f>'Formato 5'!D15</f>
        <v>5109615.2</v>
      </c>
      <c r="S9" s="18">
        <f>'Formato 5'!E15</f>
        <v>5109615.1999999993</v>
      </c>
      <c r="T9" s="18">
        <f>'Formato 5'!F15</f>
        <v>5109615.1999999993</v>
      </c>
      <c r="U9" s="18">
        <f>'Formato 5'!G15</f>
        <v>1790552.1999999993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ht="14.25" x14ac:dyDescent="0.4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ht="14.25" x14ac:dyDescent="0.4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1202509418.3900001</v>
      </c>
      <c r="Q29" s="18">
        <f>'Formato 5'!C35</f>
        <v>-349214518.69</v>
      </c>
      <c r="R29" s="18">
        <f>'Formato 5'!D35</f>
        <v>853294899.70000005</v>
      </c>
      <c r="S29" s="18">
        <f>'Formato 5'!E35</f>
        <v>853294899.69999993</v>
      </c>
      <c r="T29" s="18">
        <f>'Formato 5'!F35</f>
        <v>853294899.69999993</v>
      </c>
      <c r="U29" s="18">
        <f>'Formato 5'!G35</f>
        <v>-349214518.69000018</v>
      </c>
    </row>
    <row r="30" spans="1:21" ht="14.25" x14ac:dyDescent="0.4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1202509418.3900001</v>
      </c>
      <c r="Q30" s="18">
        <f>'Formato 5'!C36</f>
        <v>-349214518.69</v>
      </c>
      <c r="R30" s="18">
        <f>'Formato 5'!D36</f>
        <v>853294899.70000005</v>
      </c>
      <c r="S30" s="18">
        <f>'Formato 5'!E36</f>
        <v>853294899.69999993</v>
      </c>
      <c r="T30" s="18">
        <f>'Formato 5'!F36</f>
        <v>853294899.69999993</v>
      </c>
      <c r="U30" s="18">
        <f>'Formato 5'!G36</f>
        <v>-349214518.69000018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ht="14.25" x14ac:dyDescent="0.4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1623186833.3900001</v>
      </c>
      <c r="Q34">
        <f>'Formato 5'!C41</f>
        <v>-279217199.54000002</v>
      </c>
      <c r="R34">
        <f>'Formato 5'!D41</f>
        <v>1343969633.8499999</v>
      </c>
      <c r="S34">
        <f>'Formato 5'!E41</f>
        <v>1343969633.8499999</v>
      </c>
      <c r="T34">
        <f>'Formato 5'!F41</f>
        <v>1343969633.8499999</v>
      </c>
      <c r="U34">
        <f>'Formato 5'!G41</f>
        <v>-279217199.54000008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ht="14.25" x14ac:dyDescent="0.4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131000000</v>
      </c>
      <c r="Q37">
        <f>'Formato 5'!C45</f>
        <v>-41714372.529999986</v>
      </c>
      <c r="R37">
        <f>'Formato 5'!D45</f>
        <v>89285627.470000014</v>
      </c>
      <c r="S37">
        <f>'Formato 5'!E45</f>
        <v>89285627.470000029</v>
      </c>
      <c r="T37">
        <f>'Formato 5'!F45</f>
        <v>89285627.470000029</v>
      </c>
      <c r="U37">
        <f>'Formato 5'!G45</f>
        <v>-41714372.529999971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131000000</v>
      </c>
      <c r="Q42">
        <f>'Formato 5'!C50</f>
        <v>-41714372.529999986</v>
      </c>
      <c r="R42">
        <f>'Formato 5'!D50</f>
        <v>89285627.470000014</v>
      </c>
      <c r="S42">
        <f>'Formato 5'!E50</f>
        <v>89285627.470000029</v>
      </c>
      <c r="T42">
        <f>'Formato 5'!F50</f>
        <v>89285627.470000029</v>
      </c>
      <c r="U42">
        <f>'Formato 5'!G50</f>
        <v>-41714372.529999971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1731732233</v>
      </c>
      <c r="Q54">
        <f>'Formato 5'!C62</f>
        <v>36175175</v>
      </c>
      <c r="R54">
        <f>'Formato 5'!D62</f>
        <v>1767907408</v>
      </c>
      <c r="S54">
        <f>'Formato 5'!E62</f>
        <v>1767907408</v>
      </c>
      <c r="T54">
        <f>'Formato 5'!F62</f>
        <v>1755366103</v>
      </c>
      <c r="U54">
        <f>'Formato 5'!G62</f>
        <v>23633870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212280690.66000009</v>
      </c>
      <c r="Q55">
        <f>'Formato 5'!C63</f>
        <v>-86304078.960000038</v>
      </c>
      <c r="R55">
        <f>'Formato 5'!D63</f>
        <v>125976611.70000005</v>
      </c>
      <c r="S55">
        <f>'Formato 5'!E63</f>
        <v>125976611.70000005</v>
      </c>
      <c r="T55">
        <f>'Formato 5'!F63</f>
        <v>125976611.70000005</v>
      </c>
      <c r="U55">
        <f>'Formato 5'!G63</f>
        <v>-86304078.960000038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2075012923.6600001</v>
      </c>
      <c r="Q56">
        <f>'Formato 5'!C65</f>
        <v>-91843276.490000024</v>
      </c>
      <c r="R56">
        <f>'Formato 5'!D65</f>
        <v>1983169647.1700001</v>
      </c>
      <c r="S56">
        <f>'Formato 5'!E65</f>
        <v>1983169647.1700001</v>
      </c>
      <c r="T56">
        <f>'Formato 5'!F65</f>
        <v>1970628342.1700001</v>
      </c>
      <c r="U56">
        <f>'Formato 5'!G65</f>
        <v>-104384581.49000001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Normal="100" zoomScalePageLayoutView="90" workbookViewId="0">
      <selection sqref="A1:G1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3" t="s">
        <v>3285</v>
      </c>
      <c r="B1" s="172"/>
      <c r="C1" s="172"/>
      <c r="D1" s="172"/>
      <c r="E1" s="172"/>
      <c r="F1" s="172"/>
      <c r="G1" s="172"/>
    </row>
    <row r="2" spans="1:7" ht="14.25" x14ac:dyDescent="0.45">
      <c r="A2" s="176" t="str">
        <f>ENTE_PUBLICO_A</f>
        <v>UNIVERSIDAD DE GUANAJUATO, Gobierno del Estado de Guanajuato (a)</v>
      </c>
      <c r="B2" s="176"/>
      <c r="C2" s="176"/>
      <c r="D2" s="176"/>
      <c r="E2" s="176"/>
      <c r="F2" s="176"/>
      <c r="G2" s="176"/>
    </row>
    <row r="3" spans="1:7" x14ac:dyDescent="0.25">
      <c r="A3" s="177" t="s">
        <v>277</v>
      </c>
      <c r="B3" s="177"/>
      <c r="C3" s="177"/>
      <c r="D3" s="177"/>
      <c r="E3" s="177"/>
      <c r="F3" s="177"/>
      <c r="G3" s="177"/>
    </row>
    <row r="4" spans="1:7" x14ac:dyDescent="0.25">
      <c r="A4" s="177" t="s">
        <v>278</v>
      </c>
      <c r="B4" s="177"/>
      <c r="C4" s="177"/>
      <c r="D4" s="177"/>
      <c r="E4" s="177"/>
      <c r="F4" s="177"/>
      <c r="G4" s="177"/>
    </row>
    <row r="5" spans="1:7" ht="14.25" x14ac:dyDescent="0.45">
      <c r="A5" s="178" t="str">
        <f>TRIMESTRE</f>
        <v>Del 1 de enero al 31 de diciembre de 2018 (b)</v>
      </c>
      <c r="B5" s="178"/>
      <c r="C5" s="178"/>
      <c r="D5" s="178"/>
      <c r="E5" s="178"/>
      <c r="F5" s="178"/>
      <c r="G5" s="178"/>
    </row>
    <row r="6" spans="1:7" ht="14.25" x14ac:dyDescent="0.45">
      <c r="A6" s="170" t="s">
        <v>118</v>
      </c>
      <c r="B6" s="170"/>
      <c r="C6" s="170"/>
      <c r="D6" s="170"/>
      <c r="E6" s="170"/>
      <c r="F6" s="170"/>
      <c r="G6" s="170"/>
    </row>
    <row r="7" spans="1:7" ht="15" customHeight="1" x14ac:dyDescent="0.25">
      <c r="A7" s="174" t="s">
        <v>0</v>
      </c>
      <c r="B7" s="174" t="s">
        <v>279</v>
      </c>
      <c r="C7" s="174"/>
      <c r="D7" s="174"/>
      <c r="E7" s="174"/>
      <c r="F7" s="174"/>
      <c r="G7" s="175" t="s">
        <v>280</v>
      </c>
    </row>
    <row r="8" spans="1:7" ht="30" x14ac:dyDescent="0.25">
      <c r="A8" s="174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4"/>
    </row>
    <row r="9" spans="1:7" ht="14.25" x14ac:dyDescent="0.45">
      <c r="A9" s="82" t="s">
        <v>285</v>
      </c>
      <c r="B9" s="79">
        <f>SUM(B10,B18,B28,B38,B48,B58,B62,B71,B75)</f>
        <v>2240785624.9800005</v>
      </c>
      <c r="C9" s="79">
        <f t="shared" ref="C9:G9" si="0">SUM(C10,C18,C28,C38,C48,C58,C62,C71,C75)</f>
        <v>-251136968.65999976</v>
      </c>
      <c r="D9" s="79">
        <f t="shared" si="0"/>
        <v>1989648656.3200002</v>
      </c>
      <c r="E9" s="79">
        <f t="shared" si="0"/>
        <v>1507119606.3499999</v>
      </c>
      <c r="F9" s="79">
        <f t="shared" si="0"/>
        <v>1461636293.51</v>
      </c>
      <c r="G9" s="79">
        <f t="shared" si="0"/>
        <v>482529049.97000039</v>
      </c>
    </row>
    <row r="10" spans="1:7" ht="14.25" x14ac:dyDescent="0.45">
      <c r="A10" s="83" t="s">
        <v>286</v>
      </c>
      <c r="B10" s="80">
        <f>SUM(B11:B17)</f>
        <v>1011548317.16</v>
      </c>
      <c r="C10" s="80">
        <f t="shared" ref="C10:F10" si="1">SUM(C11:C17)</f>
        <v>-12500324.819999799</v>
      </c>
      <c r="D10" s="80">
        <f t="shared" si="1"/>
        <v>999047992.34000027</v>
      </c>
      <c r="E10" s="80">
        <f t="shared" si="1"/>
        <v>822822833.81999993</v>
      </c>
      <c r="F10" s="80">
        <f t="shared" si="1"/>
        <v>821894689.47000003</v>
      </c>
      <c r="G10" s="80">
        <f>SUM(G11:G17)</f>
        <v>176225158.52000022</v>
      </c>
    </row>
    <row r="11" spans="1:7" x14ac:dyDescent="0.25">
      <c r="A11" s="84" t="s">
        <v>287</v>
      </c>
      <c r="B11" s="80">
        <v>255388787.77000004</v>
      </c>
      <c r="C11" s="80">
        <v>-15482832.439999998</v>
      </c>
      <c r="D11" s="80">
        <v>239905955.33000004</v>
      </c>
      <c r="E11" s="80">
        <v>198464781.75999996</v>
      </c>
      <c r="F11" s="80">
        <v>198464766.48999998</v>
      </c>
      <c r="G11" s="80">
        <v>41441173.570000082</v>
      </c>
    </row>
    <row r="12" spans="1:7" x14ac:dyDescent="0.25">
      <c r="A12" s="84" t="s">
        <v>288</v>
      </c>
      <c r="B12" s="80">
        <v>215981013.52999994</v>
      </c>
      <c r="C12" s="80">
        <v>71997134.690000266</v>
      </c>
      <c r="D12" s="80">
        <v>287978148.22000021</v>
      </c>
      <c r="E12" s="80">
        <v>220962042.01000002</v>
      </c>
      <c r="F12" s="80">
        <v>220707358.74000007</v>
      </c>
      <c r="G12" s="80">
        <v>67016106.210000187</v>
      </c>
    </row>
    <row r="13" spans="1:7" x14ac:dyDescent="0.25">
      <c r="A13" s="84" t="s">
        <v>289</v>
      </c>
      <c r="B13" s="80">
        <v>121168144.66000006</v>
      </c>
      <c r="C13" s="80">
        <v>4005431.009999916</v>
      </c>
      <c r="D13" s="80">
        <v>125173575.66999997</v>
      </c>
      <c r="E13" s="80">
        <v>103051681.68999998</v>
      </c>
      <c r="F13" s="80">
        <v>103034779.47999997</v>
      </c>
      <c r="G13" s="80">
        <v>22121893.979999989</v>
      </c>
    </row>
    <row r="14" spans="1:7" x14ac:dyDescent="0.25">
      <c r="A14" s="84" t="s">
        <v>290</v>
      </c>
      <c r="B14" s="80">
        <v>135058514.13</v>
      </c>
      <c r="C14" s="80">
        <v>-9629655.5300000161</v>
      </c>
      <c r="D14" s="80">
        <v>125428858.59999998</v>
      </c>
      <c r="E14" s="80">
        <v>104731834.58999999</v>
      </c>
      <c r="F14" s="80">
        <v>104692410.67999999</v>
      </c>
      <c r="G14" s="80">
        <v>20697024.00999999</v>
      </c>
    </row>
    <row r="15" spans="1:7" x14ac:dyDescent="0.25">
      <c r="A15" s="84" t="s">
        <v>291</v>
      </c>
      <c r="B15" s="80">
        <v>163235771.82999995</v>
      </c>
      <c r="C15" s="80">
        <v>-28037737.979999959</v>
      </c>
      <c r="D15" s="80">
        <v>135198033.84999999</v>
      </c>
      <c r="E15" s="80">
        <v>111828995.38000003</v>
      </c>
      <c r="F15" s="80">
        <v>111211875.69000004</v>
      </c>
      <c r="G15" s="80">
        <v>23369038.469999969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7" spans="1:7" x14ac:dyDescent="0.25">
      <c r="A17" s="84" t="s">
        <v>293</v>
      </c>
      <c r="B17" s="80">
        <v>120716085.24000001</v>
      </c>
      <c r="C17" s="80">
        <v>-35352664.570000008</v>
      </c>
      <c r="D17" s="80">
        <v>85363420.670000002</v>
      </c>
      <c r="E17" s="80">
        <v>83783498.390000015</v>
      </c>
      <c r="F17" s="80">
        <v>83783498.390000015</v>
      </c>
      <c r="G17" s="80">
        <v>1579922.2799999863</v>
      </c>
    </row>
    <row r="18" spans="1:7" ht="14.25" x14ac:dyDescent="0.45">
      <c r="A18" s="83" t="s">
        <v>294</v>
      </c>
      <c r="B18" s="80">
        <f>SUM(B19:B27)</f>
        <v>97682578.320000052</v>
      </c>
      <c r="C18" s="80">
        <f t="shared" ref="C18:F18" si="2">SUM(C19:C27)</f>
        <v>122850350.24000011</v>
      </c>
      <c r="D18" s="80">
        <f t="shared" si="2"/>
        <v>220532928.56000012</v>
      </c>
      <c r="E18" s="80">
        <f t="shared" si="2"/>
        <v>70775291.429999992</v>
      </c>
      <c r="F18" s="80">
        <f t="shared" si="2"/>
        <v>68927396.069999993</v>
      </c>
      <c r="G18" s="80">
        <f>SUM(G19:G27)</f>
        <v>149757637.13000011</v>
      </c>
    </row>
    <row r="19" spans="1:7" x14ac:dyDescent="0.25">
      <c r="A19" s="84" t="s">
        <v>295</v>
      </c>
      <c r="B19" s="80">
        <v>49287303.290000036</v>
      </c>
      <c r="C19" s="80">
        <v>109262954.3200001</v>
      </c>
      <c r="D19" s="80">
        <v>158550257.61000013</v>
      </c>
      <c r="E19" s="80">
        <v>14465880.679999994</v>
      </c>
      <c r="F19" s="80">
        <v>14311130.889999995</v>
      </c>
      <c r="G19" s="80">
        <v>144084376.93000013</v>
      </c>
    </row>
    <row r="20" spans="1:7" x14ac:dyDescent="0.25">
      <c r="A20" s="84" t="s">
        <v>296</v>
      </c>
      <c r="B20" s="80">
        <v>15357823.48</v>
      </c>
      <c r="C20" s="80">
        <v>-3167363.01</v>
      </c>
      <c r="D20" s="80">
        <v>12190460.470000001</v>
      </c>
      <c r="E20" s="80">
        <v>11030616.470000001</v>
      </c>
      <c r="F20" s="80">
        <v>10849359.939999998</v>
      </c>
      <c r="G20" s="80">
        <v>1159844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7" x14ac:dyDescent="0.25">
      <c r="A22" s="84" t="s">
        <v>298</v>
      </c>
      <c r="B22" s="80">
        <v>5433194.4000000004</v>
      </c>
      <c r="C22" s="80">
        <v>3263087.2900000028</v>
      </c>
      <c r="D22" s="80">
        <v>8696281.6900000032</v>
      </c>
      <c r="E22" s="80">
        <v>7994686.0100000026</v>
      </c>
      <c r="F22" s="80">
        <v>7957752.240000003</v>
      </c>
      <c r="G22" s="80">
        <v>701595.68000000063</v>
      </c>
    </row>
    <row r="23" spans="1:7" x14ac:dyDescent="0.25">
      <c r="A23" s="84" t="s">
        <v>299</v>
      </c>
      <c r="B23" s="80">
        <v>6756526.740000003</v>
      </c>
      <c r="C23" s="80">
        <v>6703321.4599999962</v>
      </c>
      <c r="D23" s="80">
        <v>13459848.199999999</v>
      </c>
      <c r="E23" s="80">
        <v>12046914.069999993</v>
      </c>
      <c r="F23" s="80">
        <v>11751737.019999994</v>
      </c>
      <c r="G23" s="80">
        <v>1412934.1300000064</v>
      </c>
    </row>
    <row r="24" spans="1:7" x14ac:dyDescent="0.25">
      <c r="A24" s="84" t="s">
        <v>300</v>
      </c>
      <c r="B24" s="80">
        <v>8664389.6699999999</v>
      </c>
      <c r="C24" s="80">
        <v>1143803.4000000041</v>
      </c>
      <c r="D24" s="80">
        <v>9808193.070000004</v>
      </c>
      <c r="E24" s="80">
        <v>9386636.0700000022</v>
      </c>
      <c r="F24" s="80">
        <v>9253774.3100000024</v>
      </c>
      <c r="G24" s="80">
        <v>421557.00000000186</v>
      </c>
    </row>
    <row r="25" spans="1:7" x14ac:dyDescent="0.25">
      <c r="A25" s="84" t="s">
        <v>301</v>
      </c>
      <c r="B25" s="80">
        <v>8461623.0699999947</v>
      </c>
      <c r="C25" s="80">
        <v>2289958.6100000124</v>
      </c>
      <c r="D25" s="80">
        <v>10751581.680000007</v>
      </c>
      <c r="E25" s="80">
        <v>9055416.1700000018</v>
      </c>
      <c r="F25" s="80">
        <v>8620465.9800000023</v>
      </c>
      <c r="G25" s="80">
        <v>1696165.5100000054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7" x14ac:dyDescent="0.25">
      <c r="A27" s="84" t="s">
        <v>303</v>
      </c>
      <c r="B27" s="80">
        <v>3721717.6700000018</v>
      </c>
      <c r="C27" s="80">
        <v>3354588.1700000009</v>
      </c>
      <c r="D27" s="80">
        <v>7076305.8400000026</v>
      </c>
      <c r="E27" s="80">
        <v>6795141.9600000028</v>
      </c>
      <c r="F27" s="80">
        <v>6183175.6900000023</v>
      </c>
      <c r="G27" s="80">
        <v>281163.87999999989</v>
      </c>
    </row>
    <row r="28" spans="1:7" x14ac:dyDescent="0.25">
      <c r="A28" s="83" t="s">
        <v>304</v>
      </c>
      <c r="B28" s="80">
        <f>SUM(B29:B37)</f>
        <v>320214515.3900001</v>
      </c>
      <c r="C28" s="80">
        <f t="shared" ref="C28:G28" si="3">SUM(C29:C37)</f>
        <v>4065472.719999902</v>
      </c>
      <c r="D28" s="80">
        <f t="shared" si="3"/>
        <v>324279988.11000001</v>
      </c>
      <c r="E28" s="80">
        <f t="shared" si="3"/>
        <v>281159304.73000002</v>
      </c>
      <c r="F28" s="80">
        <f t="shared" si="3"/>
        <v>266861906.28999999</v>
      </c>
      <c r="G28" s="80">
        <f t="shared" si="3"/>
        <v>43120683.379999973</v>
      </c>
    </row>
    <row r="29" spans="1:7" x14ac:dyDescent="0.25">
      <c r="A29" s="84" t="s">
        <v>305</v>
      </c>
      <c r="B29" s="80">
        <v>17559213.810000002</v>
      </c>
      <c r="C29" s="80">
        <v>-952810.75999999791</v>
      </c>
      <c r="D29" s="80">
        <v>16606403.050000004</v>
      </c>
      <c r="E29" s="80">
        <v>15542948.670000009</v>
      </c>
      <c r="F29" s="80">
        <v>14725528.24000001</v>
      </c>
      <c r="G29" s="80">
        <v>1063454.3799999952</v>
      </c>
    </row>
    <row r="30" spans="1:7" x14ac:dyDescent="0.25">
      <c r="A30" s="84" t="s">
        <v>306</v>
      </c>
      <c r="B30" s="80">
        <v>27622608.139999993</v>
      </c>
      <c r="C30" s="80">
        <v>8583772.240000017</v>
      </c>
      <c r="D30" s="80">
        <v>36206380.38000001</v>
      </c>
      <c r="E30" s="80">
        <v>35717036.960000008</v>
      </c>
      <c r="F30" s="80">
        <v>35227075.25</v>
      </c>
      <c r="G30" s="80">
        <v>489343.42000000179</v>
      </c>
    </row>
    <row r="31" spans="1:7" x14ac:dyDescent="0.25">
      <c r="A31" s="84" t="s">
        <v>307</v>
      </c>
      <c r="B31" s="80">
        <v>64140097.290000044</v>
      </c>
      <c r="C31" s="80">
        <v>1902364.2199999765</v>
      </c>
      <c r="D31" s="80">
        <v>66042461.51000002</v>
      </c>
      <c r="E31" s="80">
        <v>52605497.730000012</v>
      </c>
      <c r="F31" s="80">
        <v>48733120.550000012</v>
      </c>
      <c r="G31" s="80">
        <v>13436963.780000009</v>
      </c>
    </row>
    <row r="32" spans="1:7" x14ac:dyDescent="0.25">
      <c r="A32" s="84" t="s">
        <v>308</v>
      </c>
      <c r="B32" s="80">
        <v>10169706.109999999</v>
      </c>
      <c r="C32" s="80">
        <v>-253287.54000000097</v>
      </c>
      <c r="D32" s="80">
        <v>9916418.5699999984</v>
      </c>
      <c r="E32" s="80">
        <v>3836779.1200000006</v>
      </c>
      <c r="F32" s="80">
        <v>3681948.6700000009</v>
      </c>
      <c r="G32" s="80">
        <v>6079639.4499999974</v>
      </c>
    </row>
    <row r="33" spans="1:7" x14ac:dyDescent="0.25">
      <c r="A33" s="84" t="s">
        <v>309</v>
      </c>
      <c r="B33" s="80">
        <v>67922701.26000002</v>
      </c>
      <c r="C33" s="80">
        <v>5214155.9899999499</v>
      </c>
      <c r="D33" s="80">
        <v>73136857.24999997</v>
      </c>
      <c r="E33" s="80">
        <v>60207229.849999987</v>
      </c>
      <c r="F33" s="80">
        <v>57568309.839999981</v>
      </c>
      <c r="G33" s="80">
        <v>12929627.399999984</v>
      </c>
    </row>
    <row r="34" spans="1:7" x14ac:dyDescent="0.25">
      <c r="A34" s="84" t="s">
        <v>310</v>
      </c>
      <c r="B34" s="80">
        <v>16971506.220000003</v>
      </c>
      <c r="C34" s="80">
        <v>-4599240.7600000035</v>
      </c>
      <c r="D34" s="80">
        <v>12372265.459999999</v>
      </c>
      <c r="E34" s="80">
        <v>12193724.489999998</v>
      </c>
      <c r="F34" s="80">
        <v>12024847.199999999</v>
      </c>
      <c r="G34" s="80">
        <v>178540.97000000067</v>
      </c>
    </row>
    <row r="35" spans="1:7" x14ac:dyDescent="0.25">
      <c r="A35" s="84" t="s">
        <v>311</v>
      </c>
      <c r="B35" s="80">
        <v>66565769.550000034</v>
      </c>
      <c r="C35" s="80">
        <v>-33161932.050000057</v>
      </c>
      <c r="D35" s="80">
        <v>33403837.499999978</v>
      </c>
      <c r="E35" s="80">
        <v>28752502.58999997</v>
      </c>
      <c r="F35" s="80">
        <v>28139631.479999974</v>
      </c>
      <c r="G35" s="80">
        <v>4651334.9100000076</v>
      </c>
    </row>
    <row r="36" spans="1:7" x14ac:dyDescent="0.25">
      <c r="A36" s="84" t="s">
        <v>312</v>
      </c>
      <c r="B36" s="80">
        <v>14704110.909999998</v>
      </c>
      <c r="C36" s="80">
        <v>23707381.13000001</v>
      </c>
      <c r="D36" s="80">
        <v>38411492.040000007</v>
      </c>
      <c r="E36" s="80">
        <v>36600433.300000019</v>
      </c>
      <c r="F36" s="80">
        <v>35553797.860000014</v>
      </c>
      <c r="G36" s="80">
        <v>1811058.7399999872</v>
      </c>
    </row>
    <row r="37" spans="1:7" x14ac:dyDescent="0.25">
      <c r="A37" s="84" t="s">
        <v>313</v>
      </c>
      <c r="B37" s="80">
        <v>34558802.099999994</v>
      </c>
      <c r="C37" s="80">
        <v>3625070.2500000075</v>
      </c>
      <c r="D37" s="80">
        <v>38183872.350000001</v>
      </c>
      <c r="E37" s="80">
        <v>35703152.020000003</v>
      </c>
      <c r="F37" s="80">
        <v>31207647.200000007</v>
      </c>
      <c r="G37" s="80">
        <v>2480720.3299999982</v>
      </c>
    </row>
    <row r="38" spans="1:7" x14ac:dyDescent="0.25">
      <c r="A38" s="83" t="s">
        <v>314</v>
      </c>
      <c r="B38" s="80">
        <f>SUM(B39:B47)</f>
        <v>92341170.180000022</v>
      </c>
      <c r="C38" s="80">
        <f t="shared" ref="C38:G38" si="4">SUM(C39:C47)</f>
        <v>57106933.37000002</v>
      </c>
      <c r="D38" s="80">
        <f t="shared" si="4"/>
        <v>149448103.55000004</v>
      </c>
      <c r="E38" s="80">
        <f t="shared" si="4"/>
        <v>128846208.31000003</v>
      </c>
      <c r="F38" s="80">
        <f t="shared" si="4"/>
        <v>128405791.14000005</v>
      </c>
      <c r="G38" s="80">
        <f t="shared" si="4"/>
        <v>20601895.24000001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</row>
    <row r="42" spans="1:7" x14ac:dyDescent="0.25">
      <c r="A42" s="84" t="s">
        <v>318</v>
      </c>
      <c r="B42" s="80">
        <v>72941283.820000023</v>
      </c>
      <c r="C42" s="80">
        <v>27629771.430000022</v>
      </c>
      <c r="D42" s="80">
        <v>100571055.25000004</v>
      </c>
      <c r="E42" s="80">
        <v>93585709.630000025</v>
      </c>
      <c r="F42" s="80">
        <v>93147699.440000027</v>
      </c>
      <c r="G42" s="80">
        <v>6985345.6200000197</v>
      </c>
    </row>
    <row r="43" spans="1:7" x14ac:dyDescent="0.25">
      <c r="A43" s="84" t="s">
        <v>319</v>
      </c>
      <c r="B43" s="80">
        <v>19339886.359999999</v>
      </c>
      <c r="C43" s="80">
        <v>29437160.939999998</v>
      </c>
      <c r="D43" s="80">
        <v>48777047.299999997</v>
      </c>
      <c r="E43" s="80">
        <v>35160498.680000007</v>
      </c>
      <c r="F43" s="80">
        <v>35158091.70000001</v>
      </c>
      <c r="G43" s="80">
        <v>13616548.61999999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</row>
    <row r="46" spans="1:7" x14ac:dyDescent="0.25">
      <c r="A46" s="84" t="s">
        <v>322</v>
      </c>
      <c r="B46" s="80">
        <v>60000</v>
      </c>
      <c r="C46" s="80">
        <v>40001</v>
      </c>
      <c r="D46" s="80">
        <v>100001</v>
      </c>
      <c r="E46" s="80">
        <v>100000</v>
      </c>
      <c r="F46" s="80">
        <v>100000</v>
      </c>
      <c r="G46" s="80">
        <v>1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</row>
    <row r="48" spans="1:7" x14ac:dyDescent="0.25">
      <c r="A48" s="83" t="s">
        <v>324</v>
      </c>
      <c r="B48" s="80">
        <f>SUM(B49:B57)</f>
        <v>202971375.92000002</v>
      </c>
      <c r="C48" s="80">
        <f t="shared" ref="C48:G48" si="5">SUM(C49:C57)</f>
        <v>-60758962.960000001</v>
      </c>
      <c r="D48" s="80">
        <f t="shared" si="5"/>
        <v>142212412.95999998</v>
      </c>
      <c r="E48" s="80">
        <f t="shared" si="5"/>
        <v>124609037.60999998</v>
      </c>
      <c r="F48" s="80">
        <f t="shared" si="5"/>
        <v>98214011.949999973</v>
      </c>
      <c r="G48" s="80">
        <f t="shared" si="5"/>
        <v>17603375.350000024</v>
      </c>
    </row>
    <row r="49" spans="1:7" x14ac:dyDescent="0.25">
      <c r="A49" s="84" t="s">
        <v>325</v>
      </c>
      <c r="B49" s="80">
        <v>74115487.079999998</v>
      </c>
      <c r="C49" s="80">
        <v>-6822113.099999994</v>
      </c>
      <c r="D49" s="80">
        <v>67293373.980000004</v>
      </c>
      <c r="E49" s="80">
        <v>60670549.559999995</v>
      </c>
      <c r="F49" s="80">
        <v>46962240.149999991</v>
      </c>
      <c r="G49" s="80">
        <v>6622824.4200000092</v>
      </c>
    </row>
    <row r="50" spans="1:7" x14ac:dyDescent="0.25">
      <c r="A50" s="84" t="s">
        <v>326</v>
      </c>
      <c r="B50" s="80">
        <v>5731997.2599999998</v>
      </c>
      <c r="C50" s="80">
        <v>4126437.2000000011</v>
      </c>
      <c r="D50" s="80">
        <v>9858434.4600000009</v>
      </c>
      <c r="E50" s="80">
        <v>8438665.3099999987</v>
      </c>
      <c r="F50" s="80">
        <v>7628907.75</v>
      </c>
      <c r="G50" s="80">
        <v>1419769.1500000022</v>
      </c>
    </row>
    <row r="51" spans="1:7" x14ac:dyDescent="0.25">
      <c r="A51" s="84" t="s">
        <v>327</v>
      </c>
      <c r="B51" s="80">
        <v>85574280.030000001</v>
      </c>
      <c r="C51" s="80">
        <v>-69808442.870000005</v>
      </c>
      <c r="D51" s="80">
        <v>15765837.160000004</v>
      </c>
      <c r="E51" s="80">
        <v>9676861.839999998</v>
      </c>
      <c r="F51" s="80">
        <v>8978202.7599999979</v>
      </c>
      <c r="G51" s="80">
        <v>6088975.3200000059</v>
      </c>
    </row>
    <row r="52" spans="1:7" x14ac:dyDescent="0.25">
      <c r="A52" s="84" t="s">
        <v>328</v>
      </c>
      <c r="B52" s="80">
        <v>7843823</v>
      </c>
      <c r="C52" s="80">
        <v>3318761.8800000008</v>
      </c>
      <c r="D52" s="80">
        <v>11162584.880000001</v>
      </c>
      <c r="E52" s="80">
        <v>11050040.559999999</v>
      </c>
      <c r="F52" s="80">
        <v>9364282.5599999987</v>
      </c>
      <c r="G52" s="80">
        <v>112544.32000000216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</row>
    <row r="54" spans="1:7" x14ac:dyDescent="0.25">
      <c r="A54" s="84" t="s">
        <v>330</v>
      </c>
      <c r="B54" s="80">
        <v>27664530.120000001</v>
      </c>
      <c r="C54" s="80">
        <v>573875.80000000075</v>
      </c>
      <c r="D54" s="80">
        <v>28238405.920000002</v>
      </c>
      <c r="E54" s="80">
        <v>25418823.769999996</v>
      </c>
      <c r="F54" s="80">
        <v>17461838.68</v>
      </c>
      <c r="G54" s="80">
        <v>2819582.150000006</v>
      </c>
    </row>
    <row r="55" spans="1:7" x14ac:dyDescent="0.25">
      <c r="A55" s="84" t="s">
        <v>331</v>
      </c>
      <c r="B55" s="80">
        <v>32305.83</v>
      </c>
      <c r="C55" s="80">
        <v>-32305.83</v>
      </c>
      <c r="D55" s="80">
        <v>0</v>
      </c>
      <c r="E55" s="80">
        <v>0</v>
      </c>
      <c r="F55" s="80">
        <v>0</v>
      </c>
      <c r="G55" s="80"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</row>
    <row r="57" spans="1:7" x14ac:dyDescent="0.25">
      <c r="A57" s="84" t="s">
        <v>333</v>
      </c>
      <c r="B57" s="80">
        <v>2008952.6</v>
      </c>
      <c r="C57" s="80">
        <v>7884823.9600000009</v>
      </c>
      <c r="D57" s="80">
        <v>9893776.5600000005</v>
      </c>
      <c r="E57" s="80">
        <v>9354096.5700000003</v>
      </c>
      <c r="F57" s="80">
        <v>7818540.0499999998</v>
      </c>
      <c r="G57" s="80">
        <v>539679.99000000022</v>
      </c>
    </row>
    <row r="58" spans="1:7" x14ac:dyDescent="0.25">
      <c r="A58" s="83" t="s">
        <v>334</v>
      </c>
      <c r="B58" s="80">
        <f>SUM(B59:B61)</f>
        <v>516027668.00999999</v>
      </c>
      <c r="C58" s="80">
        <f t="shared" ref="C58:G58" si="6">SUM(C59:C61)</f>
        <v>-361900437.20999998</v>
      </c>
      <c r="D58" s="80">
        <f t="shared" si="6"/>
        <v>154127230.80000001</v>
      </c>
      <c r="E58" s="80">
        <f t="shared" si="6"/>
        <v>78906930.450000003</v>
      </c>
      <c r="F58" s="80">
        <f t="shared" si="6"/>
        <v>77332498.589999989</v>
      </c>
      <c r="G58" s="80">
        <f t="shared" si="6"/>
        <v>75220300.350000009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</row>
    <row r="60" spans="1:7" x14ac:dyDescent="0.25">
      <c r="A60" s="84" t="s">
        <v>336</v>
      </c>
      <c r="B60" s="80">
        <v>516027668.00999999</v>
      </c>
      <c r="C60" s="80">
        <v>-361900437.20999998</v>
      </c>
      <c r="D60" s="80">
        <v>154127230.80000001</v>
      </c>
      <c r="E60" s="80">
        <v>78906930.450000003</v>
      </c>
      <c r="F60" s="80">
        <v>77332498.589999989</v>
      </c>
      <c r="G60" s="80">
        <v>75220300.350000009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7">SUM(C63:C67,C69:C70)</f>
        <v>0</v>
      </c>
      <c r="D62" s="80">
        <f t="shared" si="7"/>
        <v>0</v>
      </c>
      <c r="E62" s="80">
        <f t="shared" si="7"/>
        <v>0</v>
      </c>
      <c r="F62" s="80">
        <f t="shared" si="7"/>
        <v>0</v>
      </c>
      <c r="G62" s="80">
        <f t="shared" si="7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8">SUM(C72:C74)</f>
        <v>0</v>
      </c>
      <c r="D71" s="80">
        <f t="shared" si="8"/>
        <v>0</v>
      </c>
      <c r="E71" s="80">
        <f t="shared" si="8"/>
        <v>0</v>
      </c>
      <c r="F71" s="80">
        <f t="shared" si="8"/>
        <v>0</v>
      </c>
      <c r="G71" s="80">
        <f t="shared" si="8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9">SUM(C76:C82)</f>
        <v>0</v>
      </c>
      <c r="D75" s="80">
        <f t="shared" si="9"/>
        <v>0</v>
      </c>
      <c r="E75" s="80">
        <f t="shared" si="9"/>
        <v>0</v>
      </c>
      <c r="F75" s="80">
        <f t="shared" si="9"/>
        <v>0</v>
      </c>
      <c r="G75" s="80">
        <f t="shared" si="9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2104418913.0199997</v>
      </c>
      <c r="C84" s="79">
        <f t="shared" ref="C84:G84" si="10">SUM(C85,C93,C103,C113,C123,C133,C137,C146,C150)</f>
        <v>82782907.440000579</v>
      </c>
      <c r="D84" s="79">
        <f t="shared" si="10"/>
        <v>2187201820.46</v>
      </c>
      <c r="E84" s="79">
        <f t="shared" si="10"/>
        <v>2023475534.7300005</v>
      </c>
      <c r="F84" s="79">
        <f t="shared" si="10"/>
        <v>1992127662.8100007</v>
      </c>
      <c r="G84" s="79">
        <f t="shared" si="10"/>
        <v>163726285.72999996</v>
      </c>
    </row>
    <row r="85" spans="1:7" x14ac:dyDescent="0.25">
      <c r="A85" s="83" t="s">
        <v>286</v>
      </c>
      <c r="B85" s="80">
        <f>SUM(B86:B92)</f>
        <v>1358604007.3499999</v>
      </c>
      <c r="C85" s="80">
        <f t="shared" ref="C85:G85" si="11">SUM(C86:C92)</f>
        <v>75539332.860000521</v>
      </c>
      <c r="D85" s="80">
        <f t="shared" si="11"/>
        <v>1434143340.2100003</v>
      </c>
      <c r="E85" s="80">
        <f t="shared" si="11"/>
        <v>1413017104.6900003</v>
      </c>
      <c r="F85" s="80">
        <f t="shared" si="11"/>
        <v>1387759414.7700005</v>
      </c>
      <c r="G85" s="80">
        <f t="shared" si="11"/>
        <v>21126235.519999951</v>
      </c>
    </row>
    <row r="86" spans="1:7" x14ac:dyDescent="0.25">
      <c r="A86" s="84" t="s">
        <v>287</v>
      </c>
      <c r="B86" s="80">
        <v>451205918.96999997</v>
      </c>
      <c r="C86" s="80">
        <v>37906956.430000126</v>
      </c>
      <c r="D86" s="80">
        <v>489112875.4000001</v>
      </c>
      <c r="E86" s="80">
        <v>476522299.82000011</v>
      </c>
      <c r="F86" s="80">
        <v>476517204.72000009</v>
      </c>
      <c r="G86" s="80">
        <v>12590575.579999983</v>
      </c>
    </row>
    <row r="87" spans="1:7" x14ac:dyDescent="0.25">
      <c r="A87" s="84" t="s">
        <v>288</v>
      </c>
      <c r="B87" s="80">
        <v>48421711.150000013</v>
      </c>
      <c r="C87" s="80">
        <v>29725319.300000004</v>
      </c>
      <c r="D87" s="80">
        <v>78147030.450000018</v>
      </c>
      <c r="E87" s="80">
        <v>77617215.660000026</v>
      </c>
      <c r="F87" s="80">
        <v>77048419.640000045</v>
      </c>
      <c r="G87" s="80">
        <v>529814.78999999166</v>
      </c>
    </row>
    <row r="88" spans="1:7" x14ac:dyDescent="0.25">
      <c r="A88" s="84" t="s">
        <v>289</v>
      </c>
      <c r="B88" s="80">
        <v>203795498.32999983</v>
      </c>
      <c r="C88" s="80">
        <v>13638930.010000229</v>
      </c>
      <c r="D88" s="80">
        <v>217434428.34000006</v>
      </c>
      <c r="E88" s="80">
        <v>217434428.34000006</v>
      </c>
      <c r="F88" s="80">
        <v>216176226.67000002</v>
      </c>
      <c r="G88" s="80">
        <v>0</v>
      </c>
    </row>
    <row r="89" spans="1:7" x14ac:dyDescent="0.25">
      <c r="A89" s="84" t="s">
        <v>290</v>
      </c>
      <c r="B89" s="80">
        <v>227806516.20000002</v>
      </c>
      <c r="C89" s="80">
        <v>12805034.700000018</v>
      </c>
      <c r="D89" s="80">
        <v>240611550.90000004</v>
      </c>
      <c r="E89" s="80">
        <v>238111250.75</v>
      </c>
      <c r="F89" s="80">
        <v>221611550.90000004</v>
      </c>
      <c r="G89" s="80">
        <v>2500300.1500000358</v>
      </c>
    </row>
    <row r="90" spans="1:7" x14ac:dyDescent="0.25">
      <c r="A90" s="84" t="s">
        <v>291</v>
      </c>
      <c r="B90" s="80">
        <v>234288580.73999998</v>
      </c>
      <c r="C90" s="80">
        <v>-44942237.119999915</v>
      </c>
      <c r="D90" s="80">
        <v>189346343.62000006</v>
      </c>
      <c r="E90" s="80">
        <v>188561258.62000012</v>
      </c>
      <c r="F90" s="80">
        <v>181635361.34000003</v>
      </c>
      <c r="G90" s="80">
        <v>785084.9999999404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</row>
    <row r="92" spans="1:7" x14ac:dyDescent="0.25">
      <c r="A92" s="84" t="s">
        <v>293</v>
      </c>
      <c r="B92" s="80">
        <v>193085781.96000004</v>
      </c>
      <c r="C92" s="80">
        <v>26405329.540000051</v>
      </c>
      <c r="D92" s="80">
        <v>219491111.50000009</v>
      </c>
      <c r="E92" s="80">
        <v>214770651.50000009</v>
      </c>
      <c r="F92" s="80">
        <v>214770651.50000009</v>
      </c>
      <c r="G92" s="80">
        <v>4720460</v>
      </c>
    </row>
    <row r="93" spans="1:7" x14ac:dyDescent="0.25">
      <c r="A93" s="83" t="s">
        <v>294</v>
      </c>
      <c r="B93" s="80">
        <f>SUM(B94:B102)</f>
        <v>33458212.310000002</v>
      </c>
      <c r="C93" s="80">
        <f t="shared" ref="C93:G93" si="12">SUM(C94:C102)</f>
        <v>28258943.749999963</v>
      </c>
      <c r="D93" s="80">
        <f t="shared" si="12"/>
        <v>61717156.059999965</v>
      </c>
      <c r="E93" s="80">
        <f t="shared" si="12"/>
        <v>51170361.079999968</v>
      </c>
      <c r="F93" s="80">
        <f t="shared" si="12"/>
        <v>49630319.169999965</v>
      </c>
      <c r="G93" s="80">
        <f t="shared" si="12"/>
        <v>10546794.980000002</v>
      </c>
    </row>
    <row r="94" spans="1:7" x14ac:dyDescent="0.25">
      <c r="A94" s="84" t="s">
        <v>295</v>
      </c>
      <c r="B94" s="80">
        <v>13640580.280000001</v>
      </c>
      <c r="C94" s="80">
        <v>8135183.1099999696</v>
      </c>
      <c r="D94" s="80">
        <v>21775763.389999971</v>
      </c>
      <c r="E94" s="80">
        <v>19190024.129999969</v>
      </c>
      <c r="F94" s="80">
        <v>17996002.669999972</v>
      </c>
      <c r="G94" s="80">
        <v>2585739.2600000016</v>
      </c>
    </row>
    <row r="95" spans="1:7" x14ac:dyDescent="0.25">
      <c r="A95" s="84" t="s">
        <v>296</v>
      </c>
      <c r="B95" s="80">
        <v>5094612.26</v>
      </c>
      <c r="C95" s="80">
        <v>-22777.139999999665</v>
      </c>
      <c r="D95" s="80">
        <v>5071835.12</v>
      </c>
      <c r="E95" s="80">
        <v>5056935.18</v>
      </c>
      <c r="F95" s="80">
        <v>5030410.26</v>
      </c>
      <c r="G95" s="80">
        <v>14899.94000000041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</row>
    <row r="97" spans="1:7" x14ac:dyDescent="0.25">
      <c r="A97" s="84" t="s">
        <v>298</v>
      </c>
      <c r="B97" s="80">
        <v>2754506.0500000007</v>
      </c>
      <c r="C97" s="80">
        <v>2342339.0299999993</v>
      </c>
      <c r="D97" s="80">
        <v>5096845.08</v>
      </c>
      <c r="E97" s="80">
        <v>4446030.0100000007</v>
      </c>
      <c r="F97" s="80">
        <v>4436667.4800000004</v>
      </c>
      <c r="G97" s="80">
        <v>650815.06999999937</v>
      </c>
    </row>
    <row r="98" spans="1:7" x14ac:dyDescent="0.25">
      <c r="A98" s="42" t="s">
        <v>299</v>
      </c>
      <c r="B98" s="80">
        <v>1229719.7899999996</v>
      </c>
      <c r="C98" s="80">
        <v>16466664.299999997</v>
      </c>
      <c r="D98" s="80">
        <v>17696384.089999996</v>
      </c>
      <c r="E98" s="80">
        <v>11245840.939999996</v>
      </c>
      <c r="F98" s="80">
        <v>11100187.179999996</v>
      </c>
      <c r="G98" s="80">
        <v>6450543.1500000004</v>
      </c>
    </row>
    <row r="99" spans="1:7" x14ac:dyDescent="0.25">
      <c r="A99" s="84" t="s">
        <v>300</v>
      </c>
      <c r="B99" s="80">
        <v>7231143.1700000018</v>
      </c>
      <c r="C99" s="80">
        <v>210070.89999999758</v>
      </c>
      <c r="D99" s="80">
        <v>7441214.0699999994</v>
      </c>
      <c r="E99" s="80">
        <v>7200119.4899999993</v>
      </c>
      <c r="F99" s="80">
        <v>7063772.3299999991</v>
      </c>
      <c r="G99" s="80">
        <v>241094.58000000007</v>
      </c>
    </row>
    <row r="100" spans="1:7" x14ac:dyDescent="0.25">
      <c r="A100" s="84" t="s">
        <v>301</v>
      </c>
      <c r="B100" s="80">
        <v>416910.83999999997</v>
      </c>
      <c r="C100" s="80">
        <v>381684.80999999994</v>
      </c>
      <c r="D100" s="80">
        <v>798595.64999999991</v>
      </c>
      <c r="E100" s="80">
        <v>641031.16999999993</v>
      </c>
      <c r="F100" s="80">
        <v>641031.16999999993</v>
      </c>
      <c r="G100" s="80">
        <v>157564.47999999998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v>0</v>
      </c>
    </row>
    <row r="102" spans="1:7" x14ac:dyDescent="0.25">
      <c r="A102" s="84" t="s">
        <v>303</v>
      </c>
      <c r="B102" s="80">
        <v>3090739.9200000018</v>
      </c>
      <c r="C102" s="80">
        <v>745778.73999999696</v>
      </c>
      <c r="D102" s="80">
        <v>3836518.6599999988</v>
      </c>
      <c r="E102" s="80">
        <v>3390380.1599999988</v>
      </c>
      <c r="F102" s="80">
        <v>3362248.0799999991</v>
      </c>
      <c r="G102" s="80">
        <v>446138.5</v>
      </c>
    </row>
    <row r="103" spans="1:7" x14ac:dyDescent="0.25">
      <c r="A103" s="83" t="s">
        <v>304</v>
      </c>
      <c r="B103" s="80">
        <f>SUM(B104:B112)</f>
        <v>83284900.849999979</v>
      </c>
      <c r="C103" s="80">
        <f>SUM(C104:C112)</f>
        <v>46642453.970000021</v>
      </c>
      <c r="D103" s="80">
        <f t="shared" ref="D103:G103" si="13">SUM(D104:D112)</f>
        <v>129927354.82000001</v>
      </c>
      <c r="E103" s="80">
        <f t="shared" si="13"/>
        <v>69315904.650000021</v>
      </c>
      <c r="F103" s="80">
        <f t="shared" si="13"/>
        <v>68096845.280000016</v>
      </c>
      <c r="G103" s="80">
        <f t="shared" si="13"/>
        <v>60611450.170000002</v>
      </c>
    </row>
    <row r="104" spans="1:7" x14ac:dyDescent="0.25">
      <c r="A104" s="84" t="s">
        <v>305</v>
      </c>
      <c r="B104" s="80">
        <v>31569818.109999992</v>
      </c>
      <c r="C104" s="80">
        <v>-3748774.3399999887</v>
      </c>
      <c r="D104" s="80">
        <v>27821043.770000003</v>
      </c>
      <c r="E104" s="80">
        <v>27803480.220000003</v>
      </c>
      <c r="F104" s="80">
        <v>27801228.850000005</v>
      </c>
      <c r="G104" s="80">
        <v>17563.550000000745</v>
      </c>
    </row>
    <row r="105" spans="1:7" x14ac:dyDescent="0.25">
      <c r="A105" s="84" t="s">
        <v>306</v>
      </c>
      <c r="B105" s="80">
        <v>972075.64000000025</v>
      </c>
      <c r="C105" s="80">
        <v>1299897.48</v>
      </c>
      <c r="D105" s="80">
        <v>2271973.12</v>
      </c>
      <c r="E105" s="80">
        <v>1968617.7299999997</v>
      </c>
      <c r="F105" s="80">
        <v>1968617.7299999997</v>
      </c>
      <c r="G105" s="80">
        <v>303355.39000000036</v>
      </c>
    </row>
    <row r="106" spans="1:7" x14ac:dyDescent="0.25">
      <c r="A106" s="84" t="s">
        <v>307</v>
      </c>
      <c r="B106" s="80">
        <v>6712414.9700000016</v>
      </c>
      <c r="C106" s="80">
        <v>11392034.279999994</v>
      </c>
      <c r="D106" s="80">
        <v>18104449.249999996</v>
      </c>
      <c r="E106" s="80">
        <v>11522826.870000005</v>
      </c>
      <c r="F106" s="80">
        <v>10715307.470000003</v>
      </c>
      <c r="G106" s="80">
        <v>6581622.3799999915</v>
      </c>
    </row>
    <row r="107" spans="1:7" x14ac:dyDescent="0.25">
      <c r="A107" s="84" t="s">
        <v>308</v>
      </c>
      <c r="B107" s="80">
        <v>802760.94</v>
      </c>
      <c r="C107" s="80">
        <v>15314106.790000005</v>
      </c>
      <c r="D107" s="80">
        <v>16116867.730000004</v>
      </c>
      <c r="E107" s="80">
        <v>3548582.9899999998</v>
      </c>
      <c r="F107" s="80">
        <v>3548582.9899999998</v>
      </c>
      <c r="G107" s="80">
        <v>12568284.740000004</v>
      </c>
    </row>
    <row r="108" spans="1:7" x14ac:dyDescent="0.25">
      <c r="A108" s="84" t="s">
        <v>309</v>
      </c>
      <c r="B108" s="80">
        <v>6930658.6199999982</v>
      </c>
      <c r="C108" s="80">
        <v>13664363.920000002</v>
      </c>
      <c r="D108" s="80">
        <v>20595022.539999999</v>
      </c>
      <c r="E108" s="80">
        <v>11618818.470000003</v>
      </c>
      <c r="F108" s="80">
        <v>11449159.400000002</v>
      </c>
      <c r="G108" s="80">
        <v>8976204.0699999966</v>
      </c>
    </row>
    <row r="109" spans="1:7" x14ac:dyDescent="0.25">
      <c r="A109" s="84" t="s">
        <v>310</v>
      </c>
      <c r="B109" s="80">
        <v>49349.5</v>
      </c>
      <c r="C109" s="80">
        <v>1601309</v>
      </c>
      <c r="D109" s="80">
        <v>1650658.5</v>
      </c>
      <c r="E109" s="80">
        <v>441380.52</v>
      </c>
      <c r="F109" s="80">
        <v>428318.3</v>
      </c>
      <c r="G109" s="80">
        <v>1209277.98</v>
      </c>
    </row>
    <row r="110" spans="1:7" x14ac:dyDescent="0.25">
      <c r="A110" s="84" t="s">
        <v>311</v>
      </c>
      <c r="B110" s="80">
        <v>35704392.460000001</v>
      </c>
      <c r="C110" s="80">
        <v>1755142.1600000113</v>
      </c>
      <c r="D110" s="80">
        <v>37459534.620000012</v>
      </c>
      <c r="E110" s="80">
        <v>8054408.7499999981</v>
      </c>
      <c r="F110" s="80">
        <v>7952252.1299999971</v>
      </c>
      <c r="G110" s="80">
        <v>29405125.870000012</v>
      </c>
    </row>
    <row r="111" spans="1:7" x14ac:dyDescent="0.25">
      <c r="A111" s="84" t="s">
        <v>312</v>
      </c>
      <c r="B111" s="80">
        <v>335775.57</v>
      </c>
      <c r="C111" s="80">
        <v>5431003.8200000003</v>
      </c>
      <c r="D111" s="80">
        <v>5766779.3900000006</v>
      </c>
      <c r="E111" s="80">
        <v>4246763.2000000011</v>
      </c>
      <c r="F111" s="80">
        <v>4122352.5100000007</v>
      </c>
      <c r="G111" s="80">
        <v>1520016.1899999995</v>
      </c>
    </row>
    <row r="112" spans="1:7" x14ac:dyDescent="0.25">
      <c r="A112" s="84" t="s">
        <v>313</v>
      </c>
      <c r="B112" s="80">
        <v>207655.03999999998</v>
      </c>
      <c r="C112" s="80">
        <v>-66629.139999999985</v>
      </c>
      <c r="D112" s="80">
        <v>141025.9</v>
      </c>
      <c r="E112" s="80">
        <v>111025.9</v>
      </c>
      <c r="F112" s="80">
        <v>111025.9</v>
      </c>
      <c r="G112" s="80">
        <v>30000</v>
      </c>
    </row>
    <row r="113" spans="1:7" x14ac:dyDescent="0.25">
      <c r="A113" s="83" t="s">
        <v>314</v>
      </c>
      <c r="B113" s="80">
        <f>SUM(B114:B122)</f>
        <v>292605668.57999998</v>
      </c>
      <c r="C113" s="80">
        <f t="shared" ref="C113:G113" si="14">SUM(C114:C122)</f>
        <v>68742731.420000061</v>
      </c>
      <c r="D113" s="80">
        <f t="shared" si="14"/>
        <v>361348400.00000006</v>
      </c>
      <c r="E113" s="80">
        <f t="shared" si="14"/>
        <v>343452777.21000004</v>
      </c>
      <c r="F113" s="80">
        <f t="shared" si="14"/>
        <v>342091237.34000009</v>
      </c>
      <c r="G113" s="80">
        <f t="shared" si="14"/>
        <v>17895622.790000025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v>0</v>
      </c>
    </row>
    <row r="117" spans="1:7" x14ac:dyDescent="0.25">
      <c r="A117" s="84" t="s">
        <v>318</v>
      </c>
      <c r="B117" s="80">
        <v>0</v>
      </c>
      <c r="C117" s="80">
        <v>34523094.290000007</v>
      </c>
      <c r="D117" s="80">
        <v>34523094.290000007</v>
      </c>
      <c r="E117" s="80">
        <v>17216887.540000003</v>
      </c>
      <c r="F117" s="80">
        <v>17216887.540000003</v>
      </c>
      <c r="G117" s="80">
        <v>17306206.750000004</v>
      </c>
    </row>
    <row r="118" spans="1:7" x14ac:dyDescent="0.25">
      <c r="A118" s="84" t="s">
        <v>319</v>
      </c>
      <c r="B118" s="80">
        <v>292605668.57999998</v>
      </c>
      <c r="C118" s="80">
        <v>34219637.130000055</v>
      </c>
      <c r="D118" s="80">
        <v>326825305.71000004</v>
      </c>
      <c r="E118" s="80">
        <v>326235889.67000002</v>
      </c>
      <c r="F118" s="80">
        <v>324874349.80000007</v>
      </c>
      <c r="G118" s="80">
        <v>589416.04000002146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</row>
    <row r="123" spans="1:7" x14ac:dyDescent="0.25">
      <c r="A123" s="83" t="s">
        <v>324</v>
      </c>
      <c r="B123" s="80">
        <f>SUM(B124:B132)</f>
        <v>205466123.93000001</v>
      </c>
      <c r="C123" s="80">
        <f t="shared" ref="C123:G123" si="15">SUM(C124:C132)</f>
        <v>-128591115.04000001</v>
      </c>
      <c r="D123" s="80">
        <f t="shared" si="15"/>
        <v>76875008.889999986</v>
      </c>
      <c r="E123" s="80">
        <f t="shared" si="15"/>
        <v>35479575.700000003</v>
      </c>
      <c r="F123" s="80">
        <f t="shared" si="15"/>
        <v>34170035.18</v>
      </c>
      <c r="G123" s="80">
        <f t="shared" si="15"/>
        <v>41395433.18999999</v>
      </c>
    </row>
    <row r="124" spans="1:7" x14ac:dyDescent="0.25">
      <c r="A124" s="84" t="s">
        <v>325</v>
      </c>
      <c r="B124" s="80">
        <v>112978253</v>
      </c>
      <c r="C124" s="80">
        <v>-82427635.800000012</v>
      </c>
      <c r="D124" s="80">
        <v>30550617.199999996</v>
      </c>
      <c r="E124" s="80">
        <v>13898382.169999998</v>
      </c>
      <c r="F124" s="80">
        <v>13635758.110000001</v>
      </c>
      <c r="G124" s="80">
        <v>16652235.029999997</v>
      </c>
    </row>
    <row r="125" spans="1:7" x14ac:dyDescent="0.25">
      <c r="A125" s="84" t="s">
        <v>326</v>
      </c>
      <c r="B125" s="80">
        <v>0</v>
      </c>
      <c r="C125" s="80">
        <v>5083945.3999999994</v>
      </c>
      <c r="D125" s="80">
        <v>5083945.3999999994</v>
      </c>
      <c r="E125" s="80">
        <v>3827178.1200000006</v>
      </c>
      <c r="F125" s="80">
        <v>3548724.98</v>
      </c>
      <c r="G125" s="80">
        <v>1256767.2799999989</v>
      </c>
    </row>
    <row r="126" spans="1:7" x14ac:dyDescent="0.25">
      <c r="A126" s="84" t="s">
        <v>327</v>
      </c>
      <c r="B126" s="80">
        <v>92487870.929999992</v>
      </c>
      <c r="C126" s="80">
        <v>-59854676.879999995</v>
      </c>
      <c r="D126" s="80">
        <v>32633194.049999993</v>
      </c>
      <c r="E126" s="80">
        <v>12595991.010000002</v>
      </c>
      <c r="F126" s="80">
        <v>12122367.390000001</v>
      </c>
      <c r="G126" s="80">
        <v>20037203.039999992</v>
      </c>
    </row>
    <row r="127" spans="1:7" x14ac:dyDescent="0.25">
      <c r="A127" s="84" t="s">
        <v>328</v>
      </c>
      <c r="B127" s="80">
        <v>0</v>
      </c>
      <c r="C127" s="80">
        <v>1712204.9</v>
      </c>
      <c r="D127" s="80">
        <v>1712204.9</v>
      </c>
      <c r="E127" s="80">
        <v>1468493.95</v>
      </c>
      <c r="F127" s="80">
        <v>1349169.05</v>
      </c>
      <c r="G127" s="80">
        <v>243710.94999999995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v>0</v>
      </c>
    </row>
    <row r="129" spans="1:7" x14ac:dyDescent="0.25">
      <c r="A129" s="84" t="s">
        <v>330</v>
      </c>
      <c r="B129" s="80">
        <v>0</v>
      </c>
      <c r="C129" s="80">
        <v>4006604.6300000004</v>
      </c>
      <c r="D129" s="80">
        <v>4006604.6300000004</v>
      </c>
      <c r="E129" s="80">
        <v>1897773.35</v>
      </c>
      <c r="F129" s="80">
        <v>1815325.35</v>
      </c>
      <c r="G129" s="80">
        <v>2108831.2800000003</v>
      </c>
    </row>
    <row r="130" spans="1:7" x14ac:dyDescent="0.25">
      <c r="A130" s="84" t="s">
        <v>331</v>
      </c>
      <c r="B130" s="80">
        <v>0</v>
      </c>
      <c r="C130" s="80">
        <v>9148</v>
      </c>
      <c r="D130" s="80">
        <v>9148</v>
      </c>
      <c r="E130" s="80">
        <v>0</v>
      </c>
      <c r="F130" s="80">
        <v>0</v>
      </c>
      <c r="G130" s="80">
        <v>9148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v>0</v>
      </c>
    </row>
    <row r="132" spans="1:7" x14ac:dyDescent="0.25">
      <c r="A132" s="84" t="s">
        <v>333</v>
      </c>
      <c r="B132" s="80">
        <v>0</v>
      </c>
      <c r="C132" s="80">
        <v>2879294.71</v>
      </c>
      <c r="D132" s="80">
        <v>2879294.71</v>
      </c>
      <c r="E132" s="80">
        <v>1791757.1</v>
      </c>
      <c r="F132" s="80">
        <v>1698690.3000000003</v>
      </c>
      <c r="G132" s="80">
        <v>1087537.6099999999</v>
      </c>
    </row>
    <row r="133" spans="1:7" x14ac:dyDescent="0.25">
      <c r="A133" s="83" t="s">
        <v>334</v>
      </c>
      <c r="B133" s="80">
        <f>SUM(B134:B136)</f>
        <v>131000000</v>
      </c>
      <c r="C133" s="80">
        <f t="shared" ref="C133:G133" si="16">SUM(C134:C136)</f>
        <v>-7809439.5200000107</v>
      </c>
      <c r="D133" s="80">
        <f t="shared" si="16"/>
        <v>123190560.47999999</v>
      </c>
      <c r="E133" s="80">
        <f t="shared" si="16"/>
        <v>111039811.39999999</v>
      </c>
      <c r="F133" s="80">
        <f t="shared" si="16"/>
        <v>110379811.07000001</v>
      </c>
      <c r="G133" s="80">
        <f t="shared" si="16"/>
        <v>12150749.079999998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v>0</v>
      </c>
    </row>
    <row r="135" spans="1:7" x14ac:dyDescent="0.25">
      <c r="A135" s="84" t="s">
        <v>336</v>
      </c>
      <c r="B135" s="80">
        <v>131000000</v>
      </c>
      <c r="C135" s="80">
        <v>-7809439.5200000107</v>
      </c>
      <c r="D135" s="80">
        <v>123190560.47999999</v>
      </c>
      <c r="E135" s="80">
        <v>111039811.39999999</v>
      </c>
      <c r="F135" s="80">
        <v>110379811.07000001</v>
      </c>
      <c r="G135" s="80">
        <v>12150749.079999998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17">SUM(C138:C142,C144:C145)</f>
        <v>0</v>
      </c>
      <c r="D137" s="80">
        <f t="shared" si="17"/>
        <v>0</v>
      </c>
      <c r="E137" s="80">
        <f t="shared" si="17"/>
        <v>0</v>
      </c>
      <c r="F137" s="80">
        <f t="shared" si="17"/>
        <v>0</v>
      </c>
      <c r="G137" s="80">
        <f t="shared" si="17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18">SUM(C147:C149)</f>
        <v>0</v>
      </c>
      <c r="D146" s="80">
        <f t="shared" si="18"/>
        <v>0</v>
      </c>
      <c r="E146" s="80">
        <f t="shared" si="18"/>
        <v>0</v>
      </c>
      <c r="F146" s="80">
        <f t="shared" si="18"/>
        <v>0</v>
      </c>
      <c r="G146" s="80">
        <f t="shared" si="18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19">SUM(C151:C157)</f>
        <v>0</v>
      </c>
      <c r="D150" s="80">
        <f t="shared" si="19"/>
        <v>0</v>
      </c>
      <c r="E150" s="80">
        <f t="shared" si="19"/>
        <v>0</v>
      </c>
      <c r="F150" s="80">
        <f t="shared" si="19"/>
        <v>0</v>
      </c>
      <c r="G150" s="80">
        <f t="shared" si="19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4345204538</v>
      </c>
      <c r="C159" s="79">
        <f t="shared" ref="C159:G159" si="20">C9+C84</f>
        <v>-168354061.21999919</v>
      </c>
      <c r="D159" s="79">
        <f t="shared" si="20"/>
        <v>4176850476.7800002</v>
      </c>
      <c r="E159" s="79">
        <f t="shared" si="20"/>
        <v>3530595141.0800004</v>
      </c>
      <c r="F159" s="79">
        <f t="shared" si="20"/>
        <v>3453763956.3200006</v>
      </c>
      <c r="G159" s="79">
        <f t="shared" si="20"/>
        <v>646255335.70000029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2240785624.9800005</v>
      </c>
      <c r="Q2" s="18">
        <f>'Formato 6 a)'!C9</f>
        <v>-251136968.65999976</v>
      </c>
      <c r="R2" s="18">
        <f>'Formato 6 a)'!D9</f>
        <v>1989648656.3200002</v>
      </c>
      <c r="S2" s="18">
        <f>'Formato 6 a)'!E9</f>
        <v>1507119606.3499999</v>
      </c>
      <c r="T2" s="18">
        <f>'Formato 6 a)'!F9</f>
        <v>1461636293.51</v>
      </c>
      <c r="U2" s="18">
        <f>'Formato 6 a)'!G9</f>
        <v>482529049.97000039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1011548317.16</v>
      </c>
      <c r="Q3" s="18">
        <f>'Formato 6 a)'!C10</f>
        <v>-12500324.819999799</v>
      </c>
      <c r="R3" s="18">
        <f>'Formato 6 a)'!D10</f>
        <v>999047992.34000027</v>
      </c>
      <c r="S3" s="18">
        <f>'Formato 6 a)'!E10</f>
        <v>822822833.81999993</v>
      </c>
      <c r="T3" s="18">
        <f>'Formato 6 a)'!F10</f>
        <v>821894689.47000003</v>
      </c>
      <c r="U3" s="18">
        <f>'Formato 6 a)'!G10</f>
        <v>176225158.52000022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255388787.77000004</v>
      </c>
      <c r="Q4" s="18">
        <f>'Formato 6 a)'!C11</f>
        <v>-15482832.439999998</v>
      </c>
      <c r="R4" s="18">
        <f>'Formato 6 a)'!D11</f>
        <v>239905955.33000004</v>
      </c>
      <c r="S4" s="18">
        <f>'Formato 6 a)'!E11</f>
        <v>198464781.75999996</v>
      </c>
      <c r="T4" s="18">
        <f>'Formato 6 a)'!F11</f>
        <v>198464766.48999998</v>
      </c>
      <c r="U4" s="18">
        <f>'Formato 6 a)'!G11</f>
        <v>41441173.570000082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215981013.52999994</v>
      </c>
      <c r="Q5" s="18">
        <f>'Formato 6 a)'!C12</f>
        <v>71997134.690000266</v>
      </c>
      <c r="R5" s="18">
        <f>'Formato 6 a)'!D12</f>
        <v>287978148.22000021</v>
      </c>
      <c r="S5" s="18">
        <f>'Formato 6 a)'!E12</f>
        <v>220962042.01000002</v>
      </c>
      <c r="T5" s="18">
        <f>'Formato 6 a)'!F12</f>
        <v>220707358.74000007</v>
      </c>
      <c r="U5" s="18">
        <f>'Formato 6 a)'!G12</f>
        <v>67016106.210000187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121168144.66000006</v>
      </c>
      <c r="Q6" s="18">
        <f>'Formato 6 a)'!C13</f>
        <v>4005431.009999916</v>
      </c>
      <c r="R6" s="18">
        <f>'Formato 6 a)'!D13</f>
        <v>125173575.66999997</v>
      </c>
      <c r="S6" s="18">
        <f>'Formato 6 a)'!E13</f>
        <v>103051681.68999998</v>
      </c>
      <c r="T6" s="18">
        <f>'Formato 6 a)'!F13</f>
        <v>103034779.47999997</v>
      </c>
      <c r="U6" s="18">
        <f>'Formato 6 a)'!G13</f>
        <v>22121893.979999989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135058514.13</v>
      </c>
      <c r="Q7" s="18">
        <f>'Formato 6 a)'!C14</f>
        <v>-9629655.5300000161</v>
      </c>
      <c r="R7" s="18">
        <f>'Formato 6 a)'!D14</f>
        <v>125428858.59999998</v>
      </c>
      <c r="S7" s="18">
        <f>'Formato 6 a)'!E14</f>
        <v>104731834.58999999</v>
      </c>
      <c r="T7" s="18">
        <f>'Formato 6 a)'!F14</f>
        <v>104692410.67999999</v>
      </c>
      <c r="U7" s="18">
        <f>'Formato 6 a)'!G14</f>
        <v>20697024.00999999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163235771.82999995</v>
      </c>
      <c r="Q8" s="18">
        <f>'Formato 6 a)'!C15</f>
        <v>-28037737.979999959</v>
      </c>
      <c r="R8" s="18">
        <f>'Formato 6 a)'!D15</f>
        <v>135198033.84999999</v>
      </c>
      <c r="S8" s="18">
        <f>'Formato 6 a)'!E15</f>
        <v>111828995.38000003</v>
      </c>
      <c r="T8" s="18">
        <f>'Formato 6 a)'!F15</f>
        <v>111211875.69000004</v>
      </c>
      <c r="U8" s="18">
        <f>'Formato 6 a)'!G15</f>
        <v>23369038.469999969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120716085.24000001</v>
      </c>
      <c r="Q10" s="18">
        <f>'Formato 6 a)'!C17</f>
        <v>-35352664.570000008</v>
      </c>
      <c r="R10" s="18">
        <f>'Formato 6 a)'!D17</f>
        <v>85363420.670000002</v>
      </c>
      <c r="S10" s="18">
        <f>'Formato 6 a)'!E17</f>
        <v>83783498.390000015</v>
      </c>
      <c r="T10" s="18">
        <f>'Formato 6 a)'!F17</f>
        <v>83783498.390000015</v>
      </c>
      <c r="U10" s="18">
        <f>'Formato 6 a)'!G17</f>
        <v>1579922.2799999863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97682578.320000052</v>
      </c>
      <c r="Q11" s="18">
        <f>'Formato 6 a)'!C18</f>
        <v>122850350.24000011</v>
      </c>
      <c r="R11" s="18">
        <f>'Formato 6 a)'!D18</f>
        <v>220532928.56000012</v>
      </c>
      <c r="S11" s="18">
        <f>'Formato 6 a)'!E18</f>
        <v>70775291.429999992</v>
      </c>
      <c r="T11" s="18">
        <f>'Formato 6 a)'!F18</f>
        <v>68927396.069999993</v>
      </c>
      <c r="U11" s="18">
        <f>'Formato 6 a)'!G18</f>
        <v>149757637.13000011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49287303.290000036</v>
      </c>
      <c r="Q12" s="18">
        <f>'Formato 6 a)'!C19</f>
        <v>109262954.3200001</v>
      </c>
      <c r="R12" s="18">
        <f>'Formato 6 a)'!D19</f>
        <v>158550257.61000013</v>
      </c>
      <c r="S12" s="18">
        <f>'Formato 6 a)'!E19</f>
        <v>14465880.679999994</v>
      </c>
      <c r="T12" s="18">
        <f>'Formato 6 a)'!F19</f>
        <v>14311130.889999995</v>
      </c>
      <c r="U12" s="18">
        <f>'Formato 6 a)'!G19</f>
        <v>144084376.93000013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15357823.48</v>
      </c>
      <c r="Q13" s="18">
        <f>'Formato 6 a)'!C20</f>
        <v>-3167363.01</v>
      </c>
      <c r="R13" s="18">
        <f>'Formato 6 a)'!D20</f>
        <v>12190460.470000001</v>
      </c>
      <c r="S13" s="18">
        <f>'Formato 6 a)'!E20</f>
        <v>11030616.470000001</v>
      </c>
      <c r="T13" s="18">
        <f>'Formato 6 a)'!F20</f>
        <v>10849359.939999998</v>
      </c>
      <c r="U13" s="18">
        <f>'Formato 6 a)'!G20</f>
        <v>1159844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5433194.4000000004</v>
      </c>
      <c r="Q15" s="18">
        <f>'Formato 6 a)'!C22</f>
        <v>3263087.2900000028</v>
      </c>
      <c r="R15" s="18">
        <f>'Formato 6 a)'!D22</f>
        <v>8696281.6900000032</v>
      </c>
      <c r="S15" s="18">
        <f>'Formato 6 a)'!E22</f>
        <v>7994686.0100000026</v>
      </c>
      <c r="T15" s="18">
        <f>'Formato 6 a)'!F22</f>
        <v>7957752.240000003</v>
      </c>
      <c r="U15" s="18">
        <f>'Formato 6 a)'!G22</f>
        <v>701595.68000000063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6756526.740000003</v>
      </c>
      <c r="Q16" s="18">
        <f>'Formato 6 a)'!C23</f>
        <v>6703321.4599999962</v>
      </c>
      <c r="R16" s="18">
        <f>'Formato 6 a)'!D23</f>
        <v>13459848.199999999</v>
      </c>
      <c r="S16" s="18">
        <f>'Formato 6 a)'!E23</f>
        <v>12046914.069999993</v>
      </c>
      <c r="T16" s="18">
        <f>'Formato 6 a)'!F23</f>
        <v>11751737.019999994</v>
      </c>
      <c r="U16" s="18">
        <f>'Formato 6 a)'!G23</f>
        <v>1412934.1300000064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8664389.6699999999</v>
      </c>
      <c r="Q17" s="18">
        <f>'Formato 6 a)'!C24</f>
        <v>1143803.4000000041</v>
      </c>
      <c r="R17" s="18">
        <f>'Formato 6 a)'!D24</f>
        <v>9808193.070000004</v>
      </c>
      <c r="S17" s="18">
        <f>'Formato 6 a)'!E24</f>
        <v>9386636.0700000022</v>
      </c>
      <c r="T17" s="18">
        <f>'Formato 6 a)'!F24</f>
        <v>9253774.3100000024</v>
      </c>
      <c r="U17" s="18">
        <f>'Formato 6 a)'!G24</f>
        <v>421557.00000000186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8461623.0699999947</v>
      </c>
      <c r="Q18" s="18">
        <f>'Formato 6 a)'!C25</f>
        <v>2289958.6100000124</v>
      </c>
      <c r="R18" s="18">
        <f>'Formato 6 a)'!D25</f>
        <v>10751581.680000007</v>
      </c>
      <c r="S18" s="18">
        <f>'Formato 6 a)'!E25</f>
        <v>9055416.1700000018</v>
      </c>
      <c r="T18" s="18">
        <f>'Formato 6 a)'!F25</f>
        <v>8620465.9800000023</v>
      </c>
      <c r="U18" s="18">
        <f>'Formato 6 a)'!G25</f>
        <v>1696165.5100000054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3721717.6700000018</v>
      </c>
      <c r="Q20" s="18">
        <f>'Formato 6 a)'!C27</f>
        <v>3354588.1700000009</v>
      </c>
      <c r="R20" s="18">
        <f>'Formato 6 a)'!D27</f>
        <v>7076305.8400000026</v>
      </c>
      <c r="S20" s="18">
        <f>'Formato 6 a)'!E27</f>
        <v>6795141.9600000028</v>
      </c>
      <c r="T20" s="18">
        <f>'Formato 6 a)'!F27</f>
        <v>6183175.6900000023</v>
      </c>
      <c r="U20" s="18">
        <f>'Formato 6 a)'!G27</f>
        <v>281163.87999999989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320214515.3900001</v>
      </c>
      <c r="Q21" s="18">
        <f>'Formato 6 a)'!C28</f>
        <v>4065472.719999902</v>
      </c>
      <c r="R21" s="18">
        <f>'Formato 6 a)'!D28</f>
        <v>324279988.11000001</v>
      </c>
      <c r="S21" s="18">
        <f>'Formato 6 a)'!E28</f>
        <v>281159304.73000002</v>
      </c>
      <c r="T21" s="18">
        <f>'Formato 6 a)'!F28</f>
        <v>266861906.28999999</v>
      </c>
      <c r="U21" s="18">
        <f>'Formato 6 a)'!G28</f>
        <v>43120683.379999973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17559213.810000002</v>
      </c>
      <c r="Q22" s="18">
        <f>'Formato 6 a)'!C29</f>
        <v>-952810.75999999791</v>
      </c>
      <c r="R22" s="18">
        <f>'Formato 6 a)'!D29</f>
        <v>16606403.050000004</v>
      </c>
      <c r="S22" s="18">
        <f>'Formato 6 a)'!E29</f>
        <v>15542948.670000009</v>
      </c>
      <c r="T22" s="18">
        <f>'Formato 6 a)'!F29</f>
        <v>14725528.24000001</v>
      </c>
      <c r="U22" s="18">
        <f>'Formato 6 a)'!G29</f>
        <v>1063454.3799999952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27622608.139999993</v>
      </c>
      <c r="Q23" s="18">
        <f>'Formato 6 a)'!C30</f>
        <v>8583772.240000017</v>
      </c>
      <c r="R23" s="18">
        <f>'Formato 6 a)'!D30</f>
        <v>36206380.38000001</v>
      </c>
      <c r="S23" s="18">
        <f>'Formato 6 a)'!E30</f>
        <v>35717036.960000008</v>
      </c>
      <c r="T23" s="18">
        <f>'Formato 6 a)'!F30</f>
        <v>35227075.25</v>
      </c>
      <c r="U23" s="18">
        <f>'Formato 6 a)'!G30</f>
        <v>489343.42000000179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64140097.290000044</v>
      </c>
      <c r="Q24" s="18">
        <f>'Formato 6 a)'!C31</f>
        <v>1902364.2199999765</v>
      </c>
      <c r="R24" s="18">
        <f>'Formato 6 a)'!D31</f>
        <v>66042461.51000002</v>
      </c>
      <c r="S24" s="18">
        <f>'Formato 6 a)'!E31</f>
        <v>52605497.730000012</v>
      </c>
      <c r="T24" s="18">
        <f>'Formato 6 a)'!F31</f>
        <v>48733120.550000012</v>
      </c>
      <c r="U24" s="18">
        <f>'Formato 6 a)'!G31</f>
        <v>13436963.780000009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10169706.109999999</v>
      </c>
      <c r="Q25" s="18">
        <f>'Formato 6 a)'!C32</f>
        <v>-253287.54000000097</v>
      </c>
      <c r="R25" s="18">
        <f>'Formato 6 a)'!D32</f>
        <v>9916418.5699999984</v>
      </c>
      <c r="S25" s="18">
        <f>'Formato 6 a)'!E32</f>
        <v>3836779.1200000006</v>
      </c>
      <c r="T25" s="18">
        <f>'Formato 6 a)'!F32</f>
        <v>3681948.6700000009</v>
      </c>
      <c r="U25" s="18">
        <f>'Formato 6 a)'!G32</f>
        <v>6079639.4499999974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67922701.26000002</v>
      </c>
      <c r="Q26" s="18">
        <f>'Formato 6 a)'!C33</f>
        <v>5214155.9899999499</v>
      </c>
      <c r="R26" s="18">
        <f>'Formato 6 a)'!D33</f>
        <v>73136857.24999997</v>
      </c>
      <c r="S26" s="18">
        <f>'Formato 6 a)'!E33</f>
        <v>60207229.849999987</v>
      </c>
      <c r="T26" s="18">
        <f>'Formato 6 a)'!F33</f>
        <v>57568309.839999981</v>
      </c>
      <c r="U26" s="18">
        <f>'Formato 6 a)'!G33</f>
        <v>12929627.399999984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16971506.220000003</v>
      </c>
      <c r="Q27" s="18">
        <f>'Formato 6 a)'!C34</f>
        <v>-4599240.7600000035</v>
      </c>
      <c r="R27" s="18">
        <f>'Formato 6 a)'!D34</f>
        <v>12372265.459999999</v>
      </c>
      <c r="S27" s="18">
        <f>'Formato 6 a)'!E34</f>
        <v>12193724.489999998</v>
      </c>
      <c r="T27" s="18">
        <f>'Formato 6 a)'!F34</f>
        <v>12024847.199999999</v>
      </c>
      <c r="U27" s="18">
        <f>'Formato 6 a)'!G34</f>
        <v>178540.97000000067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66565769.550000034</v>
      </c>
      <c r="Q28" s="18">
        <f>'Formato 6 a)'!C35</f>
        <v>-33161932.050000057</v>
      </c>
      <c r="R28" s="18">
        <f>'Formato 6 a)'!D35</f>
        <v>33403837.499999978</v>
      </c>
      <c r="S28" s="18">
        <f>'Formato 6 a)'!E35</f>
        <v>28752502.58999997</v>
      </c>
      <c r="T28" s="18">
        <f>'Formato 6 a)'!F35</f>
        <v>28139631.479999974</v>
      </c>
      <c r="U28" s="18">
        <f>'Formato 6 a)'!G35</f>
        <v>4651334.9100000076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14704110.909999998</v>
      </c>
      <c r="Q29" s="18">
        <f>'Formato 6 a)'!C36</f>
        <v>23707381.13000001</v>
      </c>
      <c r="R29" s="18">
        <f>'Formato 6 a)'!D36</f>
        <v>38411492.040000007</v>
      </c>
      <c r="S29" s="18">
        <f>'Formato 6 a)'!E36</f>
        <v>36600433.300000019</v>
      </c>
      <c r="T29" s="18">
        <f>'Formato 6 a)'!F36</f>
        <v>35553797.860000014</v>
      </c>
      <c r="U29" s="18">
        <f>'Formato 6 a)'!G36</f>
        <v>1811058.7399999872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34558802.099999994</v>
      </c>
      <c r="Q30" s="18">
        <f>'Formato 6 a)'!C37</f>
        <v>3625070.2500000075</v>
      </c>
      <c r="R30" s="18">
        <f>'Formato 6 a)'!D37</f>
        <v>38183872.350000001</v>
      </c>
      <c r="S30" s="18">
        <f>'Formato 6 a)'!E37</f>
        <v>35703152.020000003</v>
      </c>
      <c r="T30" s="18">
        <f>'Formato 6 a)'!F37</f>
        <v>31207647.200000007</v>
      </c>
      <c r="U30" s="18">
        <f>'Formato 6 a)'!G37</f>
        <v>2480720.3299999982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92341170.180000022</v>
      </c>
      <c r="Q31" s="18">
        <f>'Formato 6 a)'!C38</f>
        <v>57106933.37000002</v>
      </c>
      <c r="R31" s="18">
        <f>'Formato 6 a)'!D38</f>
        <v>149448103.55000004</v>
      </c>
      <c r="S31" s="18">
        <f>'Formato 6 a)'!E38</f>
        <v>128846208.31000003</v>
      </c>
      <c r="T31" s="18">
        <f>'Formato 6 a)'!F38</f>
        <v>128405791.14000005</v>
      </c>
      <c r="U31" s="18">
        <f>'Formato 6 a)'!G38</f>
        <v>20601895.24000001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72941283.820000023</v>
      </c>
      <c r="Q35" s="18">
        <f>'Formato 6 a)'!C42</f>
        <v>27629771.430000022</v>
      </c>
      <c r="R35" s="18">
        <f>'Formato 6 a)'!D42</f>
        <v>100571055.25000004</v>
      </c>
      <c r="S35" s="18">
        <f>'Formato 6 a)'!E42</f>
        <v>93585709.630000025</v>
      </c>
      <c r="T35" s="18">
        <f>'Formato 6 a)'!F42</f>
        <v>93147699.440000027</v>
      </c>
      <c r="U35" s="18">
        <f>'Formato 6 a)'!G42</f>
        <v>6985345.6200000197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19339886.359999999</v>
      </c>
      <c r="Q36" s="18">
        <f>'Formato 6 a)'!C43</f>
        <v>29437160.939999998</v>
      </c>
      <c r="R36" s="18">
        <f>'Formato 6 a)'!D43</f>
        <v>48777047.299999997</v>
      </c>
      <c r="S36" s="18">
        <f>'Formato 6 a)'!E43</f>
        <v>35160498.680000007</v>
      </c>
      <c r="T36" s="18">
        <f>'Formato 6 a)'!F43</f>
        <v>35158091.70000001</v>
      </c>
      <c r="U36" s="18">
        <f>'Formato 6 a)'!G43</f>
        <v>13616548.61999999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</v>
      </c>
      <c r="Q39" s="18">
        <f>'Formato 6 a)'!C46</f>
        <v>40001</v>
      </c>
      <c r="R39" s="18">
        <f>'Formato 6 a)'!D46</f>
        <v>100001</v>
      </c>
      <c r="S39" s="18">
        <f>'Formato 6 a)'!E46</f>
        <v>100000</v>
      </c>
      <c r="T39" s="18">
        <f>'Formato 6 a)'!F46</f>
        <v>100000</v>
      </c>
      <c r="U39" s="18">
        <f>'Formato 6 a)'!G46</f>
        <v>1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202971375.92000002</v>
      </c>
      <c r="Q41" s="18">
        <f>'Formato 6 a)'!C48</f>
        <v>-60758962.960000001</v>
      </c>
      <c r="R41" s="18">
        <f>'Formato 6 a)'!D48</f>
        <v>142212412.95999998</v>
      </c>
      <c r="S41" s="18">
        <f>'Formato 6 a)'!E48</f>
        <v>124609037.60999998</v>
      </c>
      <c r="T41" s="18">
        <f>'Formato 6 a)'!F48</f>
        <v>98214011.949999973</v>
      </c>
      <c r="U41" s="18">
        <f>'Formato 6 a)'!G48</f>
        <v>17603375.350000024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74115487.079999998</v>
      </c>
      <c r="Q42" s="18">
        <f>'Formato 6 a)'!C49</f>
        <v>-6822113.099999994</v>
      </c>
      <c r="R42" s="18">
        <f>'Formato 6 a)'!D49</f>
        <v>67293373.980000004</v>
      </c>
      <c r="S42" s="18">
        <f>'Formato 6 a)'!E49</f>
        <v>60670549.559999995</v>
      </c>
      <c r="T42" s="18">
        <f>'Formato 6 a)'!F49</f>
        <v>46962240.149999991</v>
      </c>
      <c r="U42" s="18">
        <f>'Formato 6 a)'!G49</f>
        <v>6622824.4200000092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5731997.2599999998</v>
      </c>
      <c r="Q43" s="18">
        <f>'Formato 6 a)'!C50</f>
        <v>4126437.2000000011</v>
      </c>
      <c r="R43" s="18">
        <f>'Formato 6 a)'!D50</f>
        <v>9858434.4600000009</v>
      </c>
      <c r="S43" s="18">
        <f>'Formato 6 a)'!E50</f>
        <v>8438665.3099999987</v>
      </c>
      <c r="T43" s="18">
        <f>'Formato 6 a)'!F50</f>
        <v>7628907.75</v>
      </c>
      <c r="U43" s="18">
        <f>'Formato 6 a)'!G50</f>
        <v>1419769.1500000022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85574280.030000001</v>
      </c>
      <c r="Q44" s="18">
        <f>'Formato 6 a)'!C51</f>
        <v>-69808442.870000005</v>
      </c>
      <c r="R44" s="18">
        <f>'Formato 6 a)'!D51</f>
        <v>15765837.160000004</v>
      </c>
      <c r="S44" s="18">
        <f>'Formato 6 a)'!E51</f>
        <v>9676861.839999998</v>
      </c>
      <c r="T44" s="18">
        <f>'Formato 6 a)'!F51</f>
        <v>8978202.7599999979</v>
      </c>
      <c r="U44" s="18">
        <f>'Formato 6 a)'!G51</f>
        <v>6088975.3200000059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7843823</v>
      </c>
      <c r="Q45" s="18">
        <f>'Formato 6 a)'!C52</f>
        <v>3318761.8800000008</v>
      </c>
      <c r="R45" s="18">
        <f>'Formato 6 a)'!D52</f>
        <v>11162584.880000001</v>
      </c>
      <c r="S45" s="18">
        <f>'Formato 6 a)'!E52</f>
        <v>11050040.559999999</v>
      </c>
      <c r="T45" s="18">
        <f>'Formato 6 a)'!F52</f>
        <v>9364282.5599999987</v>
      </c>
      <c r="U45" s="18">
        <f>'Formato 6 a)'!G52</f>
        <v>112544.32000000216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27664530.120000001</v>
      </c>
      <c r="Q47" s="18">
        <f>'Formato 6 a)'!C54</f>
        <v>573875.80000000075</v>
      </c>
      <c r="R47" s="18">
        <f>'Formato 6 a)'!D54</f>
        <v>28238405.920000002</v>
      </c>
      <c r="S47" s="18">
        <f>'Formato 6 a)'!E54</f>
        <v>25418823.769999996</v>
      </c>
      <c r="T47" s="18">
        <f>'Formato 6 a)'!F54</f>
        <v>17461838.68</v>
      </c>
      <c r="U47" s="18">
        <f>'Formato 6 a)'!G54</f>
        <v>2819582.150000006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32305.83</v>
      </c>
      <c r="Q48" s="18">
        <f>'Formato 6 a)'!C55</f>
        <v>-32305.83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2008952.6</v>
      </c>
      <c r="Q50" s="18">
        <f>'Formato 6 a)'!C57</f>
        <v>7884823.9600000009</v>
      </c>
      <c r="R50" s="18">
        <f>'Formato 6 a)'!D57</f>
        <v>9893776.5600000005</v>
      </c>
      <c r="S50" s="18">
        <f>'Formato 6 a)'!E57</f>
        <v>9354096.5700000003</v>
      </c>
      <c r="T50" s="18">
        <f>'Formato 6 a)'!F57</f>
        <v>7818540.0499999998</v>
      </c>
      <c r="U50" s="18">
        <f>'Formato 6 a)'!G57</f>
        <v>539679.99000000022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516027668.00999999</v>
      </c>
      <c r="Q51" s="18">
        <f>'Formato 6 a)'!C58</f>
        <v>-361900437.20999998</v>
      </c>
      <c r="R51" s="18">
        <f>'Formato 6 a)'!D58</f>
        <v>154127230.80000001</v>
      </c>
      <c r="S51" s="18">
        <f>'Formato 6 a)'!E58</f>
        <v>78906930.450000003</v>
      </c>
      <c r="T51" s="18">
        <f>'Formato 6 a)'!F58</f>
        <v>77332498.589999989</v>
      </c>
      <c r="U51" s="18">
        <f>'Formato 6 a)'!G58</f>
        <v>75220300.350000009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516027668.00999999</v>
      </c>
      <c r="Q53" s="18">
        <f>'Formato 6 a)'!C60</f>
        <v>-361900437.20999998</v>
      </c>
      <c r="R53" s="18">
        <f>'Formato 6 a)'!D60</f>
        <v>154127230.80000001</v>
      </c>
      <c r="S53" s="18">
        <f>'Formato 6 a)'!E60</f>
        <v>78906930.450000003</v>
      </c>
      <c r="T53" s="18">
        <f>'Formato 6 a)'!F60</f>
        <v>77332498.589999989</v>
      </c>
      <c r="U53" s="18">
        <f>'Formato 6 a)'!G60</f>
        <v>75220300.350000009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2104418913.0199997</v>
      </c>
      <c r="Q76">
        <f>'Formato 6 a)'!C84</f>
        <v>82782907.440000579</v>
      </c>
      <c r="R76">
        <f>'Formato 6 a)'!D84</f>
        <v>2187201820.46</v>
      </c>
      <c r="S76">
        <f>'Formato 6 a)'!E84</f>
        <v>2023475534.7300005</v>
      </c>
      <c r="T76">
        <f>'Formato 6 a)'!F84</f>
        <v>1992127662.8100007</v>
      </c>
      <c r="U76">
        <f>'Formato 6 a)'!G84</f>
        <v>163726285.72999996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1358604007.3499999</v>
      </c>
      <c r="Q77">
        <f>'Formato 6 a)'!C85</f>
        <v>75539332.860000521</v>
      </c>
      <c r="R77">
        <f>'Formato 6 a)'!D85</f>
        <v>1434143340.2100003</v>
      </c>
      <c r="S77">
        <f>'Formato 6 a)'!E85</f>
        <v>1413017104.6900003</v>
      </c>
      <c r="T77">
        <f>'Formato 6 a)'!F85</f>
        <v>1387759414.7700005</v>
      </c>
      <c r="U77">
        <f>'Formato 6 a)'!G85</f>
        <v>21126235.519999951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451205918.96999997</v>
      </c>
      <c r="Q78">
        <f>'Formato 6 a)'!C86</f>
        <v>37906956.430000126</v>
      </c>
      <c r="R78">
        <f>'Formato 6 a)'!D86</f>
        <v>489112875.4000001</v>
      </c>
      <c r="S78">
        <f>'Formato 6 a)'!E86</f>
        <v>476522299.82000011</v>
      </c>
      <c r="T78">
        <f>'Formato 6 a)'!F86</f>
        <v>476517204.72000009</v>
      </c>
      <c r="U78">
        <f>'Formato 6 a)'!G86</f>
        <v>12590575.579999983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48421711.150000013</v>
      </c>
      <c r="Q79">
        <f>'Formato 6 a)'!C87</f>
        <v>29725319.300000004</v>
      </c>
      <c r="R79">
        <f>'Formato 6 a)'!D87</f>
        <v>78147030.450000018</v>
      </c>
      <c r="S79">
        <f>'Formato 6 a)'!E87</f>
        <v>77617215.660000026</v>
      </c>
      <c r="T79">
        <f>'Formato 6 a)'!F87</f>
        <v>77048419.640000045</v>
      </c>
      <c r="U79">
        <f>'Formato 6 a)'!G87</f>
        <v>529814.78999999166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203795498.32999983</v>
      </c>
      <c r="Q80">
        <f>'Formato 6 a)'!C88</f>
        <v>13638930.010000229</v>
      </c>
      <c r="R80">
        <f>'Formato 6 a)'!D88</f>
        <v>217434428.34000006</v>
      </c>
      <c r="S80">
        <f>'Formato 6 a)'!E88</f>
        <v>217434428.34000006</v>
      </c>
      <c r="T80">
        <f>'Formato 6 a)'!F88</f>
        <v>216176226.67000002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227806516.20000002</v>
      </c>
      <c r="Q81">
        <f>'Formato 6 a)'!C89</f>
        <v>12805034.700000018</v>
      </c>
      <c r="R81">
        <f>'Formato 6 a)'!D89</f>
        <v>240611550.90000004</v>
      </c>
      <c r="S81">
        <f>'Formato 6 a)'!E89</f>
        <v>238111250.75</v>
      </c>
      <c r="T81">
        <f>'Formato 6 a)'!F89</f>
        <v>221611550.90000004</v>
      </c>
      <c r="U81">
        <f>'Formato 6 a)'!G89</f>
        <v>2500300.1500000358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234288580.73999998</v>
      </c>
      <c r="Q82">
        <f>'Formato 6 a)'!C90</f>
        <v>-44942237.119999915</v>
      </c>
      <c r="R82">
        <f>'Formato 6 a)'!D90</f>
        <v>189346343.62000006</v>
      </c>
      <c r="S82">
        <f>'Formato 6 a)'!E90</f>
        <v>188561258.62000012</v>
      </c>
      <c r="T82">
        <f>'Formato 6 a)'!F90</f>
        <v>181635361.34000003</v>
      </c>
      <c r="U82">
        <f>'Formato 6 a)'!G90</f>
        <v>785084.9999999404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193085781.96000004</v>
      </c>
      <c r="Q84">
        <f>'Formato 6 a)'!C92</f>
        <v>26405329.540000051</v>
      </c>
      <c r="R84">
        <f>'Formato 6 a)'!D92</f>
        <v>219491111.50000009</v>
      </c>
      <c r="S84">
        <f>'Formato 6 a)'!E92</f>
        <v>214770651.50000009</v>
      </c>
      <c r="T84">
        <f>'Formato 6 a)'!F92</f>
        <v>214770651.50000009</v>
      </c>
      <c r="U84">
        <f>'Formato 6 a)'!G92</f>
        <v>4720460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33458212.310000002</v>
      </c>
      <c r="Q85">
        <f>'Formato 6 a)'!C93</f>
        <v>28258943.749999963</v>
      </c>
      <c r="R85">
        <f>'Formato 6 a)'!D93</f>
        <v>61717156.059999965</v>
      </c>
      <c r="S85">
        <f>'Formato 6 a)'!E93</f>
        <v>51170361.079999968</v>
      </c>
      <c r="T85">
        <f>'Formato 6 a)'!F93</f>
        <v>49630319.169999965</v>
      </c>
      <c r="U85">
        <f>'Formato 6 a)'!G93</f>
        <v>10546794.980000002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13640580.280000001</v>
      </c>
      <c r="Q86">
        <f>'Formato 6 a)'!C94</f>
        <v>8135183.1099999696</v>
      </c>
      <c r="R86">
        <f>'Formato 6 a)'!D94</f>
        <v>21775763.389999971</v>
      </c>
      <c r="S86">
        <f>'Formato 6 a)'!E94</f>
        <v>19190024.129999969</v>
      </c>
      <c r="T86">
        <f>'Formato 6 a)'!F94</f>
        <v>17996002.669999972</v>
      </c>
      <c r="U86">
        <f>'Formato 6 a)'!G94</f>
        <v>2585739.2600000016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5094612.26</v>
      </c>
      <c r="Q87">
        <f>'Formato 6 a)'!C95</f>
        <v>-22777.139999999665</v>
      </c>
      <c r="R87">
        <f>'Formato 6 a)'!D95</f>
        <v>5071835.12</v>
      </c>
      <c r="S87">
        <f>'Formato 6 a)'!E95</f>
        <v>5056935.18</v>
      </c>
      <c r="T87">
        <f>'Formato 6 a)'!F95</f>
        <v>5030410.26</v>
      </c>
      <c r="U87">
        <f>'Formato 6 a)'!G95</f>
        <v>14899.94000000041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2754506.0500000007</v>
      </c>
      <c r="Q89">
        <f>'Formato 6 a)'!C97</f>
        <v>2342339.0299999993</v>
      </c>
      <c r="R89">
        <f>'Formato 6 a)'!D97</f>
        <v>5096845.08</v>
      </c>
      <c r="S89">
        <f>'Formato 6 a)'!E97</f>
        <v>4446030.0100000007</v>
      </c>
      <c r="T89">
        <f>'Formato 6 a)'!F97</f>
        <v>4436667.4800000004</v>
      </c>
      <c r="U89">
        <f>'Formato 6 a)'!G97</f>
        <v>650815.06999999937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1229719.7899999996</v>
      </c>
      <c r="Q90">
        <f>'Formato 6 a)'!C98</f>
        <v>16466664.299999997</v>
      </c>
      <c r="R90">
        <f>'Formato 6 a)'!D98</f>
        <v>17696384.089999996</v>
      </c>
      <c r="S90">
        <f>'Formato 6 a)'!E98</f>
        <v>11245840.939999996</v>
      </c>
      <c r="T90">
        <f>'Formato 6 a)'!F98</f>
        <v>11100187.179999996</v>
      </c>
      <c r="U90">
        <f>'Formato 6 a)'!G98</f>
        <v>6450543.1500000004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7231143.1700000018</v>
      </c>
      <c r="Q91">
        <f>'Formato 6 a)'!C99</f>
        <v>210070.89999999758</v>
      </c>
      <c r="R91">
        <f>'Formato 6 a)'!D99</f>
        <v>7441214.0699999994</v>
      </c>
      <c r="S91">
        <f>'Formato 6 a)'!E99</f>
        <v>7200119.4899999993</v>
      </c>
      <c r="T91">
        <f>'Formato 6 a)'!F99</f>
        <v>7063772.3299999991</v>
      </c>
      <c r="U91">
        <f>'Formato 6 a)'!G99</f>
        <v>241094.58000000007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416910.83999999997</v>
      </c>
      <c r="Q92">
        <f>'Formato 6 a)'!C100</f>
        <v>381684.80999999994</v>
      </c>
      <c r="R92">
        <f>'Formato 6 a)'!D100</f>
        <v>798595.64999999991</v>
      </c>
      <c r="S92">
        <f>'Formato 6 a)'!E100</f>
        <v>641031.16999999993</v>
      </c>
      <c r="T92">
        <f>'Formato 6 a)'!F100</f>
        <v>641031.16999999993</v>
      </c>
      <c r="U92">
        <f>'Formato 6 a)'!G100</f>
        <v>157564.47999999998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3090739.9200000018</v>
      </c>
      <c r="Q94">
        <f>'Formato 6 a)'!C102</f>
        <v>745778.73999999696</v>
      </c>
      <c r="R94">
        <f>'Formato 6 a)'!D102</f>
        <v>3836518.6599999988</v>
      </c>
      <c r="S94">
        <f>'Formato 6 a)'!E102</f>
        <v>3390380.1599999988</v>
      </c>
      <c r="T94">
        <f>'Formato 6 a)'!F102</f>
        <v>3362248.0799999991</v>
      </c>
      <c r="U94">
        <f>'Formato 6 a)'!G102</f>
        <v>446138.5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83284900.849999979</v>
      </c>
      <c r="Q95">
        <f>'Formato 6 a)'!C103</f>
        <v>46642453.970000021</v>
      </c>
      <c r="R95">
        <f>'Formato 6 a)'!D103</f>
        <v>129927354.82000001</v>
      </c>
      <c r="S95">
        <f>'Formato 6 a)'!E103</f>
        <v>69315904.650000021</v>
      </c>
      <c r="T95">
        <f>'Formato 6 a)'!F103</f>
        <v>68096845.280000016</v>
      </c>
      <c r="U95">
        <f>'Formato 6 a)'!G103</f>
        <v>60611450.170000002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31569818.109999992</v>
      </c>
      <c r="Q96">
        <f>'Formato 6 a)'!C104</f>
        <v>-3748774.3399999887</v>
      </c>
      <c r="R96">
        <f>'Formato 6 a)'!D104</f>
        <v>27821043.770000003</v>
      </c>
      <c r="S96">
        <f>'Formato 6 a)'!E104</f>
        <v>27803480.220000003</v>
      </c>
      <c r="T96">
        <f>'Formato 6 a)'!F104</f>
        <v>27801228.850000005</v>
      </c>
      <c r="U96">
        <f>'Formato 6 a)'!G104</f>
        <v>17563.550000000745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972075.64000000025</v>
      </c>
      <c r="Q97">
        <f>'Formato 6 a)'!C105</f>
        <v>1299897.48</v>
      </c>
      <c r="R97">
        <f>'Formato 6 a)'!D105</f>
        <v>2271973.12</v>
      </c>
      <c r="S97">
        <f>'Formato 6 a)'!E105</f>
        <v>1968617.7299999997</v>
      </c>
      <c r="T97">
        <f>'Formato 6 a)'!F105</f>
        <v>1968617.7299999997</v>
      </c>
      <c r="U97">
        <f>'Formato 6 a)'!G105</f>
        <v>303355.39000000036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6712414.9700000016</v>
      </c>
      <c r="Q98">
        <f>'Formato 6 a)'!C106</f>
        <v>11392034.279999994</v>
      </c>
      <c r="R98">
        <f>'Formato 6 a)'!D106</f>
        <v>18104449.249999996</v>
      </c>
      <c r="S98">
        <f>'Formato 6 a)'!E106</f>
        <v>11522826.870000005</v>
      </c>
      <c r="T98">
        <f>'Formato 6 a)'!F106</f>
        <v>10715307.470000003</v>
      </c>
      <c r="U98">
        <f>'Formato 6 a)'!G106</f>
        <v>6581622.3799999915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802760.94</v>
      </c>
      <c r="Q99">
        <f>'Formato 6 a)'!C107</f>
        <v>15314106.790000005</v>
      </c>
      <c r="R99">
        <f>'Formato 6 a)'!D107</f>
        <v>16116867.730000004</v>
      </c>
      <c r="S99">
        <f>'Formato 6 a)'!E107</f>
        <v>3548582.9899999998</v>
      </c>
      <c r="T99">
        <f>'Formato 6 a)'!F107</f>
        <v>3548582.9899999998</v>
      </c>
      <c r="U99">
        <f>'Formato 6 a)'!G107</f>
        <v>12568284.740000004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6930658.6199999982</v>
      </c>
      <c r="Q100">
        <f>'Formato 6 a)'!C108</f>
        <v>13664363.920000002</v>
      </c>
      <c r="R100">
        <f>'Formato 6 a)'!D108</f>
        <v>20595022.539999999</v>
      </c>
      <c r="S100">
        <f>'Formato 6 a)'!E108</f>
        <v>11618818.470000003</v>
      </c>
      <c r="T100">
        <f>'Formato 6 a)'!F108</f>
        <v>11449159.400000002</v>
      </c>
      <c r="U100">
        <f>'Formato 6 a)'!G108</f>
        <v>8976204.0699999966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49349.5</v>
      </c>
      <c r="Q101">
        <f>'Formato 6 a)'!C109</f>
        <v>1601309</v>
      </c>
      <c r="R101">
        <f>'Formato 6 a)'!D109</f>
        <v>1650658.5</v>
      </c>
      <c r="S101">
        <f>'Formato 6 a)'!E109</f>
        <v>441380.52</v>
      </c>
      <c r="T101">
        <f>'Formato 6 a)'!F109</f>
        <v>428318.3</v>
      </c>
      <c r="U101">
        <f>'Formato 6 a)'!G109</f>
        <v>1209277.98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35704392.460000001</v>
      </c>
      <c r="Q102">
        <f>'Formato 6 a)'!C110</f>
        <v>1755142.1600000113</v>
      </c>
      <c r="R102">
        <f>'Formato 6 a)'!D110</f>
        <v>37459534.620000012</v>
      </c>
      <c r="S102">
        <f>'Formato 6 a)'!E110</f>
        <v>8054408.7499999981</v>
      </c>
      <c r="T102">
        <f>'Formato 6 a)'!F110</f>
        <v>7952252.1299999971</v>
      </c>
      <c r="U102">
        <f>'Formato 6 a)'!G110</f>
        <v>29405125.870000012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335775.57</v>
      </c>
      <c r="Q103">
        <f>'Formato 6 a)'!C111</f>
        <v>5431003.8200000003</v>
      </c>
      <c r="R103">
        <f>'Formato 6 a)'!D111</f>
        <v>5766779.3900000006</v>
      </c>
      <c r="S103">
        <f>'Formato 6 a)'!E111</f>
        <v>4246763.2000000011</v>
      </c>
      <c r="T103">
        <f>'Formato 6 a)'!F111</f>
        <v>4122352.5100000007</v>
      </c>
      <c r="U103">
        <f>'Formato 6 a)'!G111</f>
        <v>1520016.1899999995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207655.03999999998</v>
      </c>
      <c r="Q104">
        <f>'Formato 6 a)'!C112</f>
        <v>-66629.139999999985</v>
      </c>
      <c r="R104">
        <f>'Formato 6 a)'!D112</f>
        <v>141025.9</v>
      </c>
      <c r="S104">
        <f>'Formato 6 a)'!E112</f>
        <v>111025.9</v>
      </c>
      <c r="T104">
        <f>'Formato 6 a)'!F112</f>
        <v>111025.9</v>
      </c>
      <c r="U104">
        <f>'Formato 6 a)'!G112</f>
        <v>30000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292605668.57999998</v>
      </c>
      <c r="Q105">
        <f>'Formato 6 a)'!C113</f>
        <v>68742731.420000061</v>
      </c>
      <c r="R105">
        <f>'Formato 6 a)'!D113</f>
        <v>361348400.00000006</v>
      </c>
      <c r="S105">
        <f>'Formato 6 a)'!E113</f>
        <v>343452777.21000004</v>
      </c>
      <c r="T105">
        <f>'Formato 6 a)'!F113</f>
        <v>342091237.34000009</v>
      </c>
      <c r="U105">
        <f>'Formato 6 a)'!G113</f>
        <v>17895622.790000025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34523094.290000007</v>
      </c>
      <c r="R109">
        <f>'Formato 6 a)'!D117</f>
        <v>34523094.290000007</v>
      </c>
      <c r="S109">
        <f>'Formato 6 a)'!E117</f>
        <v>17216887.540000003</v>
      </c>
      <c r="T109">
        <f>'Formato 6 a)'!F117</f>
        <v>17216887.540000003</v>
      </c>
      <c r="U109">
        <f>'Formato 6 a)'!G117</f>
        <v>17306206.750000004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292605668.57999998</v>
      </c>
      <c r="Q110">
        <f>'Formato 6 a)'!C118</f>
        <v>34219637.130000055</v>
      </c>
      <c r="R110">
        <f>'Formato 6 a)'!D118</f>
        <v>326825305.71000004</v>
      </c>
      <c r="S110">
        <f>'Formato 6 a)'!E118</f>
        <v>326235889.67000002</v>
      </c>
      <c r="T110">
        <f>'Formato 6 a)'!F118</f>
        <v>324874349.80000007</v>
      </c>
      <c r="U110">
        <f>'Formato 6 a)'!G118</f>
        <v>589416.04000002146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205466123.93000001</v>
      </c>
      <c r="Q115">
        <f>'Formato 6 a)'!C123</f>
        <v>-128591115.04000001</v>
      </c>
      <c r="R115">
        <f>'Formato 6 a)'!D123</f>
        <v>76875008.889999986</v>
      </c>
      <c r="S115">
        <f>'Formato 6 a)'!E123</f>
        <v>35479575.700000003</v>
      </c>
      <c r="T115">
        <f>'Formato 6 a)'!F123</f>
        <v>34170035.18</v>
      </c>
      <c r="U115">
        <f>'Formato 6 a)'!G123</f>
        <v>41395433.18999999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112978253</v>
      </c>
      <c r="Q116">
        <f>'Formato 6 a)'!C124</f>
        <v>-82427635.800000012</v>
      </c>
      <c r="R116">
        <f>'Formato 6 a)'!D124</f>
        <v>30550617.199999996</v>
      </c>
      <c r="S116">
        <f>'Formato 6 a)'!E124</f>
        <v>13898382.169999998</v>
      </c>
      <c r="T116">
        <f>'Formato 6 a)'!F124</f>
        <v>13635758.110000001</v>
      </c>
      <c r="U116">
        <f>'Formato 6 a)'!G124</f>
        <v>16652235.029999997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5083945.3999999994</v>
      </c>
      <c r="R117">
        <f>'Formato 6 a)'!D125</f>
        <v>5083945.3999999994</v>
      </c>
      <c r="S117">
        <f>'Formato 6 a)'!E125</f>
        <v>3827178.1200000006</v>
      </c>
      <c r="T117">
        <f>'Formato 6 a)'!F125</f>
        <v>3548724.98</v>
      </c>
      <c r="U117">
        <f>'Formato 6 a)'!G125</f>
        <v>1256767.2799999989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92487870.929999992</v>
      </c>
      <c r="Q118">
        <f>'Formato 6 a)'!C126</f>
        <v>-59854676.879999995</v>
      </c>
      <c r="R118">
        <f>'Formato 6 a)'!D126</f>
        <v>32633194.049999993</v>
      </c>
      <c r="S118">
        <f>'Formato 6 a)'!E126</f>
        <v>12595991.010000002</v>
      </c>
      <c r="T118">
        <f>'Formato 6 a)'!F126</f>
        <v>12122367.390000001</v>
      </c>
      <c r="U118">
        <f>'Formato 6 a)'!G126</f>
        <v>20037203.039999992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1712204.9</v>
      </c>
      <c r="R119">
        <f>'Formato 6 a)'!D127</f>
        <v>1712204.9</v>
      </c>
      <c r="S119">
        <f>'Formato 6 a)'!E127</f>
        <v>1468493.95</v>
      </c>
      <c r="T119">
        <f>'Formato 6 a)'!F127</f>
        <v>1349169.05</v>
      </c>
      <c r="U119">
        <f>'Formato 6 a)'!G127</f>
        <v>243710.94999999995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4006604.6300000004</v>
      </c>
      <c r="R121">
        <f>'Formato 6 a)'!D129</f>
        <v>4006604.6300000004</v>
      </c>
      <c r="S121">
        <f>'Formato 6 a)'!E129</f>
        <v>1897773.35</v>
      </c>
      <c r="T121">
        <f>'Formato 6 a)'!F129</f>
        <v>1815325.35</v>
      </c>
      <c r="U121">
        <f>'Formato 6 a)'!G129</f>
        <v>2108831.2800000003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9148</v>
      </c>
      <c r="R122">
        <f>'Formato 6 a)'!D130</f>
        <v>9148</v>
      </c>
      <c r="S122">
        <f>'Formato 6 a)'!E130</f>
        <v>0</v>
      </c>
      <c r="T122">
        <f>'Formato 6 a)'!F130</f>
        <v>0</v>
      </c>
      <c r="U122">
        <f>'Formato 6 a)'!G130</f>
        <v>9148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2879294.71</v>
      </c>
      <c r="R124">
        <f>'Formato 6 a)'!D132</f>
        <v>2879294.71</v>
      </c>
      <c r="S124">
        <f>'Formato 6 a)'!E132</f>
        <v>1791757.1</v>
      </c>
      <c r="T124">
        <f>'Formato 6 a)'!F132</f>
        <v>1698690.3000000003</v>
      </c>
      <c r="U124">
        <f>'Formato 6 a)'!G132</f>
        <v>1087537.6099999999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131000000</v>
      </c>
      <c r="Q125">
        <f>'Formato 6 a)'!C133</f>
        <v>-7809439.5200000107</v>
      </c>
      <c r="R125">
        <f>'Formato 6 a)'!D133</f>
        <v>123190560.47999999</v>
      </c>
      <c r="S125">
        <f>'Formato 6 a)'!E133</f>
        <v>111039811.39999999</v>
      </c>
      <c r="T125">
        <f>'Formato 6 a)'!F133</f>
        <v>110379811.07000001</v>
      </c>
      <c r="U125">
        <f>'Formato 6 a)'!G133</f>
        <v>12150749.079999998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131000000</v>
      </c>
      <c r="Q127">
        <f>'Formato 6 a)'!C135</f>
        <v>-7809439.5200000107</v>
      </c>
      <c r="R127">
        <f>'Formato 6 a)'!D135</f>
        <v>123190560.47999999</v>
      </c>
      <c r="S127">
        <f>'Formato 6 a)'!E135</f>
        <v>111039811.39999999</v>
      </c>
      <c r="T127">
        <f>'Formato 6 a)'!F135</f>
        <v>110379811.07000001</v>
      </c>
      <c r="U127">
        <f>'Formato 6 a)'!G135</f>
        <v>12150749.079999998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ht="14.25" x14ac:dyDescent="0.4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ht="14.25" x14ac:dyDescent="0.4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ht="14.25" x14ac:dyDescent="0.4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ht="14.25" x14ac:dyDescent="0.4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ht="14.25" x14ac:dyDescent="0.4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ht="14.25" x14ac:dyDescent="0.4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4345204538</v>
      </c>
      <c r="Q150">
        <f>'Formato 6 a)'!C159</f>
        <v>-168354061.21999919</v>
      </c>
      <c r="R150">
        <f>'Formato 6 a)'!D159</f>
        <v>4176850476.7800002</v>
      </c>
      <c r="S150">
        <f>'Formato 6 a)'!E159</f>
        <v>3530595141.0800004</v>
      </c>
      <c r="T150">
        <f>'Formato 6 a)'!F159</f>
        <v>3453763956.3200006</v>
      </c>
      <c r="U150">
        <f>'Formato 6 a)'!G159</f>
        <v>646255335.70000029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3" t="s">
        <v>3290</v>
      </c>
      <c r="B1" s="173"/>
      <c r="C1" s="173"/>
      <c r="D1" s="173"/>
      <c r="E1" s="173"/>
      <c r="F1" s="173"/>
      <c r="G1" s="173"/>
    </row>
    <row r="2" spans="1:7" ht="14.25" x14ac:dyDescent="0.45">
      <c r="A2" s="154" t="str">
        <f>ENTE_PUBLICO_A</f>
        <v>UNIVERSIDAD DE GUANAJUATO,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431</v>
      </c>
      <c r="B4" s="158"/>
      <c r="C4" s="158"/>
      <c r="D4" s="158"/>
      <c r="E4" s="158"/>
      <c r="F4" s="158"/>
      <c r="G4" s="159"/>
    </row>
    <row r="5" spans="1:7" ht="14.25" x14ac:dyDescent="0.45">
      <c r="A5" s="160" t="str">
        <f>TRIMESTRE</f>
        <v>Del 1 de enero al 31 de diciembre de 2018 (b)</v>
      </c>
      <c r="B5" s="161"/>
      <c r="C5" s="161"/>
      <c r="D5" s="161"/>
      <c r="E5" s="161"/>
      <c r="F5" s="161"/>
      <c r="G5" s="162"/>
    </row>
    <row r="6" spans="1:7" ht="14.25" x14ac:dyDescent="0.4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0</v>
      </c>
      <c r="B7" s="171" t="s">
        <v>279</v>
      </c>
      <c r="C7" s="171"/>
      <c r="D7" s="171"/>
      <c r="E7" s="171"/>
      <c r="F7" s="171"/>
      <c r="G7" s="175" t="s">
        <v>280</v>
      </c>
    </row>
    <row r="8" spans="1:7" ht="30" x14ac:dyDescent="0.25">
      <c r="A8" s="170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4"/>
    </row>
    <row r="9" spans="1:7" ht="14.25" x14ac:dyDescent="0.45">
      <c r="A9" s="52" t="s">
        <v>440</v>
      </c>
      <c r="B9" s="59">
        <f>SUM(B10:GASTO_NE_FIN_01)</f>
        <v>2240785624.9800005</v>
      </c>
      <c r="C9" s="59">
        <f>SUM(C10:GASTO_NE_FIN_02)</f>
        <v>-251136968.65999976</v>
      </c>
      <c r="D9" s="59">
        <f>SUM(D10:GASTO_NE_FIN_03)</f>
        <v>1989648656.3200002</v>
      </c>
      <c r="E9" s="59">
        <f>SUM(E10:GASTO_NE_FIN_04)</f>
        <v>1507119606.3499999</v>
      </c>
      <c r="F9" s="59">
        <f>SUM(F10:GASTO_NE_FIN_05)</f>
        <v>1461636293.51</v>
      </c>
      <c r="G9" s="59">
        <f>SUM(G10:GASTO_NE_FIN_06)</f>
        <v>482529049.97000027</v>
      </c>
    </row>
    <row r="10" spans="1:7" s="24" customFormat="1" x14ac:dyDescent="0.25">
      <c r="A10" s="144" t="s">
        <v>432</v>
      </c>
      <c r="B10" s="60">
        <v>2240785624.9800005</v>
      </c>
      <c r="C10" s="60">
        <v>-251136968.65999976</v>
      </c>
      <c r="D10" s="60">
        <v>1989648656.3200002</v>
      </c>
      <c r="E10" s="60">
        <v>1507119606.3499999</v>
      </c>
      <c r="F10" s="60">
        <v>1461636293.51</v>
      </c>
      <c r="G10" s="77">
        <f>D10-E10</f>
        <v>482529049.97000027</v>
      </c>
    </row>
    <row r="11" spans="1:7" s="24" customFormat="1" x14ac:dyDescent="0.25">
      <c r="A11" s="144" t="s">
        <v>433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77">
        <f t="shared" ref="G11:G17" si="0">D11-E11</f>
        <v>0</v>
      </c>
    </row>
    <row r="12" spans="1:7" s="24" customFormat="1" x14ac:dyDescent="0.25">
      <c r="A12" s="144" t="s">
        <v>434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77">
        <f t="shared" si="0"/>
        <v>0</v>
      </c>
    </row>
    <row r="13" spans="1:7" s="24" customFormat="1" x14ac:dyDescent="0.25">
      <c r="A13" s="144" t="s">
        <v>435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77">
        <f t="shared" si="0"/>
        <v>0</v>
      </c>
    </row>
    <row r="14" spans="1:7" s="24" customFormat="1" x14ac:dyDescent="0.25">
      <c r="A14" s="144" t="s">
        <v>436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77">
        <f t="shared" si="0"/>
        <v>0</v>
      </c>
    </row>
    <row r="15" spans="1:7" s="24" customFormat="1" x14ac:dyDescent="0.25">
      <c r="A15" s="144" t="s">
        <v>437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77">
        <f t="shared" si="0"/>
        <v>0</v>
      </c>
    </row>
    <row r="16" spans="1:7" s="24" customFormat="1" x14ac:dyDescent="0.25">
      <c r="A16" s="144" t="s">
        <v>438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77">
        <f t="shared" si="0"/>
        <v>0</v>
      </c>
    </row>
    <row r="17" spans="1:7" s="24" customFormat="1" x14ac:dyDescent="0.25">
      <c r="A17" s="144" t="s">
        <v>439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2104418913.0199997</v>
      </c>
      <c r="C19" s="61">
        <f>SUM(C20:GASTO_E_FIN_02)</f>
        <v>82782907.440000579</v>
      </c>
      <c r="D19" s="61">
        <f>SUM(D20:GASTO_E_FIN_03)</f>
        <v>2187201820.46</v>
      </c>
      <c r="E19" s="61">
        <f>SUM(E20:GASTO_E_FIN_04)</f>
        <v>2023475534.7300005</v>
      </c>
      <c r="F19" s="61">
        <f>SUM(F20:GASTO_E_FIN_05)</f>
        <v>1992127662.8100007</v>
      </c>
      <c r="G19" s="61">
        <f>SUM(G20:GASTO_E_FIN_06)</f>
        <v>163726285.72999954</v>
      </c>
    </row>
    <row r="20" spans="1:7" s="24" customFormat="1" x14ac:dyDescent="0.25">
      <c r="A20" s="144" t="s">
        <v>432</v>
      </c>
      <c r="B20" s="60">
        <v>2104418913.0199997</v>
      </c>
      <c r="C20" s="60">
        <v>82782907.440000579</v>
      </c>
      <c r="D20" s="60">
        <v>2187201820.46</v>
      </c>
      <c r="E20" s="60">
        <v>2023475534.7300005</v>
      </c>
      <c r="F20" s="60">
        <v>1992127662.8100007</v>
      </c>
      <c r="G20" s="60">
        <f>D20-E20</f>
        <v>163726285.72999954</v>
      </c>
    </row>
    <row r="21" spans="1:7" s="24" customFormat="1" x14ac:dyDescent="0.25">
      <c r="A21" s="144" t="s">
        <v>433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1"/>
        <v>0</v>
      </c>
    </row>
    <row r="23" spans="1:7" s="24" customFormat="1" x14ac:dyDescent="0.25">
      <c r="A23" s="144" t="s">
        <v>435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1"/>
        <v>0</v>
      </c>
    </row>
    <row r="24" spans="1:7" s="24" customFormat="1" x14ac:dyDescent="0.25">
      <c r="A24" s="144" t="s">
        <v>436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1"/>
        <v>0</v>
      </c>
    </row>
    <row r="25" spans="1:7" s="24" customFormat="1" x14ac:dyDescent="0.25">
      <c r="A25" s="144" t="s">
        <v>437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1"/>
        <v>0</v>
      </c>
    </row>
    <row r="26" spans="1:7" s="24" customFormat="1" x14ac:dyDescent="0.25">
      <c r="A26" s="144" t="s">
        <v>438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1"/>
        <v>0</v>
      </c>
    </row>
    <row r="27" spans="1:7" s="24" customFormat="1" x14ac:dyDescent="0.25">
      <c r="A27" s="144" t="s">
        <v>439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1"/>
        <v>0</v>
      </c>
    </row>
    <row r="28" spans="1:7" ht="14.25" x14ac:dyDescent="0.45">
      <c r="A28" s="76" t="s">
        <v>686</v>
      </c>
      <c r="B28" s="54"/>
      <c r="C28" s="54"/>
      <c r="D28" s="54"/>
      <c r="E28" s="54"/>
      <c r="F28" s="54"/>
      <c r="G28" s="54"/>
    </row>
    <row r="29" spans="1:7" ht="14.25" x14ac:dyDescent="0.45">
      <c r="A29" s="55" t="s">
        <v>360</v>
      </c>
      <c r="B29" s="61">
        <f>GASTO_NE_T1+GASTO_E_T1</f>
        <v>4345204538</v>
      </c>
      <c r="C29" s="61">
        <f>GASTO_NE_T2+GASTO_E_T2</f>
        <v>-168354061.21999919</v>
      </c>
      <c r="D29" s="61">
        <f>GASTO_NE_T3+GASTO_E_T3</f>
        <v>4176850476.7800002</v>
      </c>
      <c r="E29" s="61">
        <f>GASTO_NE_T4+GASTO_E_T4</f>
        <v>3530595141.0800004</v>
      </c>
      <c r="F29" s="61">
        <f>GASTO_NE_T5+GASTO_E_T5</f>
        <v>3453763956.3200006</v>
      </c>
      <c r="G29" s="61">
        <f>GASTO_NE_T6+GASTO_E_T6</f>
        <v>646255335.69999981</v>
      </c>
    </row>
    <row r="30" spans="1:7" ht="14.25" x14ac:dyDescent="0.4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2240785624.9800005</v>
      </c>
      <c r="Q2" s="18">
        <f>GASTO_NE_T2</f>
        <v>-251136968.65999976</v>
      </c>
      <c r="R2" s="18">
        <f>GASTO_NE_T3</f>
        <v>1989648656.3200002</v>
      </c>
      <c r="S2" s="18">
        <f>GASTO_NE_T4</f>
        <v>1507119606.3499999</v>
      </c>
      <c r="T2" s="18">
        <f>GASTO_NE_T5</f>
        <v>1461636293.51</v>
      </c>
      <c r="U2" s="18">
        <f>GASTO_NE_T6</f>
        <v>482529049.97000027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2104418913.0199997</v>
      </c>
      <c r="Q3" s="18">
        <f>GASTO_E_T2</f>
        <v>82782907.440000579</v>
      </c>
      <c r="R3" s="18">
        <f>GASTO_E_T3</f>
        <v>2187201820.46</v>
      </c>
      <c r="S3" s="18">
        <f>GASTO_E_T4</f>
        <v>2023475534.7300005</v>
      </c>
      <c r="T3" s="18">
        <f>GASTO_E_T5</f>
        <v>1992127662.8100007</v>
      </c>
      <c r="U3" s="18">
        <f>GASTO_E_T6</f>
        <v>163726285.72999954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4345204538</v>
      </c>
      <c r="Q4" s="18">
        <f>TOTAL_E_T2</f>
        <v>-168354061.21999919</v>
      </c>
      <c r="R4" s="18">
        <f>TOTAL_E_T3</f>
        <v>4176850476.7800002</v>
      </c>
      <c r="S4" s="18">
        <f>TOTAL_E_T4</f>
        <v>3530595141.0800004</v>
      </c>
      <c r="T4" s="18">
        <f>TOTAL_E_T5</f>
        <v>3453763956.3200006</v>
      </c>
      <c r="U4" s="18">
        <f>TOTAL_E_T6</f>
        <v>646255335.69999981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ht="14.25" x14ac:dyDescent="0.45">
      <c r="A30" s="3"/>
      <c r="P30" s="18"/>
      <c r="Q30" s="18"/>
      <c r="R30" s="18"/>
      <c r="S30" s="18"/>
      <c r="T30" s="18"/>
      <c r="U30" s="18"/>
    </row>
    <row r="31" spans="1:21" ht="14.25" x14ac:dyDescent="0.45">
      <c r="A31" s="3"/>
      <c r="P31" s="18"/>
      <c r="Q31" s="18"/>
      <c r="R31" s="18"/>
      <c r="S31" s="18"/>
      <c r="T31" s="18"/>
      <c r="U31" s="18"/>
    </row>
    <row r="32" spans="1:21" ht="14.25" x14ac:dyDescent="0.45">
      <c r="A32" s="3"/>
      <c r="P32" s="18"/>
      <c r="Q32" s="18"/>
      <c r="R32" s="18"/>
      <c r="S32" s="18"/>
      <c r="T32" s="18"/>
      <c r="U32" s="18"/>
    </row>
    <row r="33" spans="1:21" ht="14.25" x14ac:dyDescent="0.45">
      <c r="A33" s="3"/>
      <c r="P33" s="18"/>
      <c r="Q33" s="18"/>
      <c r="R33" s="18"/>
      <c r="S33" s="18"/>
      <c r="T33" s="18"/>
      <c r="U33" s="18"/>
    </row>
    <row r="34" spans="1:21" ht="14.25" x14ac:dyDescent="0.45">
      <c r="A34" s="3"/>
      <c r="P34" s="18"/>
      <c r="Q34" s="18"/>
      <c r="R34" s="18"/>
      <c r="S34" s="18"/>
      <c r="T34" s="18"/>
      <c r="U34" s="18"/>
    </row>
    <row r="35" spans="1:21" ht="14.25" x14ac:dyDescent="0.45">
      <c r="A35" s="3"/>
      <c r="P35" s="18"/>
      <c r="Q35" s="18"/>
      <c r="R35" s="18"/>
      <c r="S35" s="18"/>
      <c r="T35" s="18"/>
      <c r="U35" s="18"/>
    </row>
    <row r="36" spans="1:21" ht="14.25" x14ac:dyDescent="0.4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9" t="s">
        <v>3289</v>
      </c>
      <c r="B1" s="180"/>
      <c r="C1" s="180"/>
      <c r="D1" s="180"/>
      <c r="E1" s="180"/>
      <c r="F1" s="180"/>
      <c r="G1" s="180"/>
    </row>
    <row r="2" spans="1:7" ht="14.25" x14ac:dyDescent="0.45">
      <c r="A2" s="154" t="str">
        <f>ENTE_PUBLICO_A</f>
        <v>UNIVERSIDAD DE GUANAJUATO,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396</v>
      </c>
      <c r="B3" s="158"/>
      <c r="C3" s="158"/>
      <c r="D3" s="158"/>
      <c r="E3" s="158"/>
      <c r="F3" s="158"/>
      <c r="G3" s="159"/>
    </row>
    <row r="4" spans="1:7" x14ac:dyDescent="0.25">
      <c r="A4" s="157" t="s">
        <v>397</v>
      </c>
      <c r="B4" s="158"/>
      <c r="C4" s="158"/>
      <c r="D4" s="158"/>
      <c r="E4" s="158"/>
      <c r="F4" s="158"/>
      <c r="G4" s="159"/>
    </row>
    <row r="5" spans="1:7" ht="14.25" x14ac:dyDescent="0.45">
      <c r="A5" s="160" t="str">
        <f>TRIMESTRE</f>
        <v>Del 1 de enero al 31 de diciembre de 2018 (b)</v>
      </c>
      <c r="B5" s="161"/>
      <c r="C5" s="161"/>
      <c r="D5" s="161"/>
      <c r="E5" s="161"/>
      <c r="F5" s="161"/>
      <c r="G5" s="162"/>
    </row>
    <row r="6" spans="1:7" ht="14.25" x14ac:dyDescent="0.4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58" t="s">
        <v>0</v>
      </c>
      <c r="B7" s="163" t="s">
        <v>279</v>
      </c>
      <c r="C7" s="164"/>
      <c r="D7" s="164"/>
      <c r="E7" s="164"/>
      <c r="F7" s="165"/>
      <c r="G7" s="175" t="s">
        <v>3286</v>
      </c>
    </row>
    <row r="8" spans="1:7" ht="30.75" customHeight="1" x14ac:dyDescent="0.25">
      <c r="A8" s="158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4"/>
    </row>
    <row r="9" spans="1:7" ht="14.25" x14ac:dyDescent="0.45">
      <c r="A9" s="52" t="s">
        <v>363</v>
      </c>
      <c r="B9" s="70">
        <f>SUM(B10,B19,B27,B37)</f>
        <v>2240785624.9800005</v>
      </c>
      <c r="C9" s="70">
        <f t="shared" ref="C9:G9" si="0">SUM(C10,C19,C27,C37)</f>
        <v>-251136968.66000208</v>
      </c>
      <c r="D9" s="70">
        <f t="shared" si="0"/>
        <v>1989648656.3199983</v>
      </c>
      <c r="E9" s="70">
        <f t="shared" si="0"/>
        <v>1507119606.3499975</v>
      </c>
      <c r="F9" s="70">
        <f t="shared" si="0"/>
        <v>1461636293.5099969</v>
      </c>
      <c r="G9" s="70">
        <f t="shared" si="0"/>
        <v>482529049.97000086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2102314792.1100006</v>
      </c>
      <c r="C19" s="71">
        <f t="shared" ref="C19:F19" si="3">SUM(C20:C26)</f>
        <v>-243047573.72000194</v>
      </c>
      <c r="D19" s="71">
        <f t="shared" si="3"/>
        <v>1859267218.3899987</v>
      </c>
      <c r="E19" s="71">
        <f t="shared" si="3"/>
        <v>1394834973.7399979</v>
      </c>
      <c r="F19" s="71">
        <f t="shared" si="3"/>
        <v>1350895102.1699972</v>
      </c>
      <c r="G19" s="71">
        <f>SUM(G20:G26)</f>
        <v>464432244.65000081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v>0</v>
      </c>
    </row>
    <row r="21" spans="1:7" x14ac:dyDescent="0.25">
      <c r="A21" s="63" t="s">
        <v>375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2">
        <v>0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v>0</v>
      </c>
    </row>
    <row r="24" spans="1:7" x14ac:dyDescent="0.25">
      <c r="A24" s="63" t="s">
        <v>378</v>
      </c>
      <c r="B24" s="71">
        <v>2102314792.1100006</v>
      </c>
      <c r="C24" s="71">
        <v>-243047573.72000194</v>
      </c>
      <c r="D24" s="71">
        <v>1859267218.3899987</v>
      </c>
      <c r="E24" s="71">
        <v>1394834973.7399979</v>
      </c>
      <c r="F24" s="71">
        <v>1350895102.1699972</v>
      </c>
      <c r="G24" s="72">
        <v>464432244.65000081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v>0</v>
      </c>
    </row>
    <row r="27" spans="1:7" x14ac:dyDescent="0.25">
      <c r="A27" s="53" t="s">
        <v>381</v>
      </c>
      <c r="B27" s="71">
        <f>SUM(B28:B36)</f>
        <v>138470832.8699998</v>
      </c>
      <c r="C27" s="71">
        <f t="shared" ref="C27:F27" si="4">SUM(C28:C36)</f>
        <v>-8089394.9400001466</v>
      </c>
      <c r="D27" s="71">
        <f t="shared" si="4"/>
        <v>130381437.92999965</v>
      </c>
      <c r="E27" s="71">
        <f t="shared" si="4"/>
        <v>112284632.60999963</v>
      </c>
      <c r="F27" s="71">
        <f t="shared" si="4"/>
        <v>110741191.33999963</v>
      </c>
      <c r="G27" s="71">
        <f>SUM(G28:G36)</f>
        <v>18096805.320000023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v>0</v>
      </c>
    </row>
    <row r="35" spans="1:7" x14ac:dyDescent="0.25">
      <c r="A35" s="63" t="s">
        <v>389</v>
      </c>
      <c r="B35" s="71">
        <v>138470832.8699998</v>
      </c>
      <c r="C35" s="71">
        <v>-8089394.9400001466</v>
      </c>
      <c r="D35" s="71">
        <v>130381437.92999965</v>
      </c>
      <c r="E35" s="71">
        <v>112284632.60999963</v>
      </c>
      <c r="F35" s="71">
        <v>110741191.33999963</v>
      </c>
      <c r="G35" s="72">
        <v>18096805.320000023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5">SUM(C38:C41)</f>
        <v>0</v>
      </c>
      <c r="D37" s="71">
        <f t="shared" si="5"/>
        <v>0</v>
      </c>
      <c r="E37" s="71">
        <f t="shared" si="5"/>
        <v>0</v>
      </c>
      <c r="F37" s="71">
        <f t="shared" si="5"/>
        <v>0</v>
      </c>
      <c r="G37" s="71">
        <f>SUM(G38:G41)</f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2104418913.0200009</v>
      </c>
      <c r="C43" s="73">
        <f t="shared" ref="C43:G43" si="6">SUM(C44,C53,C61,C71)</f>
        <v>82782907.44000107</v>
      </c>
      <c r="D43" s="73">
        <f t="shared" si="6"/>
        <v>2187201820.4600019</v>
      </c>
      <c r="E43" s="73">
        <f t="shared" si="6"/>
        <v>2023475534.7300022</v>
      </c>
      <c r="F43" s="73">
        <f t="shared" si="6"/>
        <v>1992127662.8100021</v>
      </c>
      <c r="G43" s="73">
        <f t="shared" si="6"/>
        <v>163726285.72999978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7">SUM(C45:C52)</f>
        <v>0</v>
      </c>
      <c r="D44" s="72">
        <f t="shared" si="7"/>
        <v>0</v>
      </c>
      <c r="E44" s="72">
        <f t="shared" si="7"/>
        <v>0</v>
      </c>
      <c r="F44" s="72">
        <f t="shared" si="7"/>
        <v>0</v>
      </c>
      <c r="G44" s="72">
        <f t="shared" si="7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v>0</v>
      </c>
    </row>
    <row r="53" spans="1:7" x14ac:dyDescent="0.25">
      <c r="A53" s="53" t="s">
        <v>373</v>
      </c>
      <c r="B53" s="71">
        <f>SUM(B54:B60)</f>
        <v>2095786326.5500009</v>
      </c>
      <c r="C53" s="71">
        <f t="shared" ref="C53:G53" si="8">SUM(C54:C60)</f>
        <v>-78332874.779999018</v>
      </c>
      <c r="D53" s="71">
        <f t="shared" si="8"/>
        <v>2017453451.7700019</v>
      </c>
      <c r="E53" s="71">
        <f t="shared" si="8"/>
        <v>1958155208.4600022</v>
      </c>
      <c r="F53" s="71">
        <f t="shared" si="8"/>
        <v>1927787410.0100021</v>
      </c>
      <c r="G53" s="71">
        <f t="shared" si="8"/>
        <v>59298243.309999704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v>0</v>
      </c>
    </row>
    <row r="58" spans="1:7" x14ac:dyDescent="0.25">
      <c r="A58" s="69" t="s">
        <v>378</v>
      </c>
      <c r="B58" s="71">
        <v>2095786326.5500009</v>
      </c>
      <c r="C58" s="71">
        <v>-78332874.779999018</v>
      </c>
      <c r="D58" s="71">
        <v>2017453451.7700019</v>
      </c>
      <c r="E58" s="71">
        <v>1958155208.4600022</v>
      </c>
      <c r="F58" s="71">
        <v>1927787410.0100021</v>
      </c>
      <c r="G58" s="72">
        <v>59298243.309999704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v>0</v>
      </c>
    </row>
    <row r="61" spans="1:7" x14ac:dyDescent="0.25">
      <c r="A61" s="53" t="s">
        <v>381</v>
      </c>
      <c r="B61" s="71">
        <f>SUM(B62:B70)</f>
        <v>8632586.4699999969</v>
      </c>
      <c r="C61" s="71">
        <f t="shared" ref="C61:G61" si="9">SUM(C62:C70)</f>
        <v>161115782.22000009</v>
      </c>
      <c r="D61" s="71">
        <f t="shared" si="9"/>
        <v>169748368.69000009</v>
      </c>
      <c r="E61" s="71">
        <f t="shared" si="9"/>
        <v>65320326.270000018</v>
      </c>
      <c r="F61" s="71">
        <f t="shared" si="9"/>
        <v>64340252.800000019</v>
      </c>
      <c r="G61" s="71">
        <f t="shared" si="9"/>
        <v>104428042.42000008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v>0</v>
      </c>
    </row>
    <row r="69" spans="1:8" x14ac:dyDescent="0.25">
      <c r="A69" s="69" t="s">
        <v>389</v>
      </c>
      <c r="B69" s="71">
        <v>8632586.4699999969</v>
      </c>
      <c r="C69" s="71">
        <v>161115782.22000009</v>
      </c>
      <c r="D69" s="71">
        <v>169748368.69000009</v>
      </c>
      <c r="E69" s="71">
        <v>65320326.270000018</v>
      </c>
      <c r="F69" s="71">
        <v>64340252.800000019</v>
      </c>
      <c r="G69" s="72">
        <v>104428042.42000008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0">SUM(C72:C75)</f>
        <v>0</v>
      </c>
      <c r="D71" s="74">
        <f t="shared" si="10"/>
        <v>0</v>
      </c>
      <c r="E71" s="74">
        <f t="shared" si="10"/>
        <v>0</v>
      </c>
      <c r="F71" s="74">
        <f t="shared" si="10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4345204538.0000019</v>
      </c>
      <c r="C77" s="73">
        <f t="shared" ref="C77:F77" si="11">C43+C9</f>
        <v>-168354061.22000101</v>
      </c>
      <c r="D77" s="73">
        <f t="shared" si="11"/>
        <v>4176850476.7800002</v>
      </c>
      <c r="E77" s="73">
        <f t="shared" si="11"/>
        <v>3530595141.0799999</v>
      </c>
      <c r="F77" s="73">
        <f t="shared" si="11"/>
        <v>3453763956.3199987</v>
      </c>
      <c r="G77" s="73">
        <f>G43+G9</f>
        <v>646255335.70000064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2240785624.9800005</v>
      </c>
      <c r="Q2" s="18">
        <f>'Formato 6 c)'!C9</f>
        <v>-251136968.66000208</v>
      </c>
      <c r="R2" s="18">
        <f>'Formato 6 c)'!D9</f>
        <v>1989648656.3199983</v>
      </c>
      <c r="S2" s="18">
        <f>'Formato 6 c)'!E9</f>
        <v>1507119606.3499975</v>
      </c>
      <c r="T2" s="18">
        <f>'Formato 6 c)'!F9</f>
        <v>1461636293.5099969</v>
      </c>
      <c r="U2" s="18">
        <f>'Formato 6 c)'!G9</f>
        <v>482529049.97000086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2102314792.1100006</v>
      </c>
      <c r="Q12" s="18">
        <f>'Formato 6 c)'!C19</f>
        <v>-243047573.72000194</v>
      </c>
      <c r="R12" s="18">
        <f>'Formato 6 c)'!D19</f>
        <v>1859267218.3899987</v>
      </c>
      <c r="S12" s="18">
        <f>'Formato 6 c)'!E19</f>
        <v>1394834973.7399979</v>
      </c>
      <c r="T12" s="18">
        <f>'Formato 6 c)'!F19</f>
        <v>1350895102.1699972</v>
      </c>
      <c r="U12" s="18">
        <f>'Formato 6 c)'!G19</f>
        <v>464432244.65000081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2102314792.1100006</v>
      </c>
      <c r="Q17" s="18">
        <f>'Formato 6 c)'!C24</f>
        <v>-243047573.72000194</v>
      </c>
      <c r="R17" s="18">
        <f>'Formato 6 c)'!D24</f>
        <v>1859267218.3899987</v>
      </c>
      <c r="S17" s="18">
        <f>'Formato 6 c)'!E24</f>
        <v>1394834973.7399979</v>
      </c>
      <c r="T17" s="18">
        <f>'Formato 6 c)'!F24</f>
        <v>1350895102.1699972</v>
      </c>
      <c r="U17" s="18">
        <f>'Formato 6 c)'!G24</f>
        <v>464432244.65000081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138470832.8699998</v>
      </c>
      <c r="Q20" s="18">
        <f>'Formato 6 c)'!C27</f>
        <v>-8089394.9400001466</v>
      </c>
      <c r="R20" s="18">
        <f>'Formato 6 c)'!D27</f>
        <v>130381437.92999965</v>
      </c>
      <c r="S20" s="18">
        <f>'Formato 6 c)'!E27</f>
        <v>112284632.60999963</v>
      </c>
      <c r="T20" s="18">
        <f>'Formato 6 c)'!F27</f>
        <v>110741191.33999963</v>
      </c>
      <c r="U20" s="18">
        <f>'Formato 6 c)'!G27</f>
        <v>18096805.320000023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ht="14.25" x14ac:dyDescent="0.4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ht="14.25" x14ac:dyDescent="0.4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138470832.8699998</v>
      </c>
      <c r="Q28" s="18">
        <f>'Formato 6 c)'!C35</f>
        <v>-8089394.9400001466</v>
      </c>
      <c r="R28" s="18">
        <f>'Formato 6 c)'!D35</f>
        <v>130381437.92999965</v>
      </c>
      <c r="S28" s="18">
        <f>'Formato 6 c)'!E35</f>
        <v>112284632.60999963</v>
      </c>
      <c r="T28" s="18">
        <f>'Formato 6 c)'!F35</f>
        <v>110741191.33999963</v>
      </c>
      <c r="U28" s="18">
        <f>'Formato 6 c)'!G35</f>
        <v>18096805.320000023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ht="14.25" x14ac:dyDescent="0.4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ht="14.25" x14ac:dyDescent="0.4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ht="14.25" x14ac:dyDescent="0.4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ht="14.25" x14ac:dyDescent="0.4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2104418913.0200009</v>
      </c>
      <c r="Q35" s="18">
        <f>'Formato 6 c)'!C43</f>
        <v>82782907.44000107</v>
      </c>
      <c r="R35" s="18">
        <f>'Formato 6 c)'!D43</f>
        <v>2187201820.4600019</v>
      </c>
      <c r="S35" s="18">
        <f>'Formato 6 c)'!E43</f>
        <v>2023475534.7300022</v>
      </c>
      <c r="T35" s="18">
        <f>'Formato 6 c)'!F43</f>
        <v>1992127662.8100021</v>
      </c>
      <c r="U35" s="18">
        <f>'Formato 6 c)'!G43</f>
        <v>163726285.72999978</v>
      </c>
    </row>
    <row r="36" spans="1:21" ht="14.25" x14ac:dyDescent="0.4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2095786326.5500009</v>
      </c>
      <c r="Q45" s="18">
        <f>'Formato 6 c)'!C53</f>
        <v>-78332874.779999018</v>
      </c>
      <c r="R45" s="18">
        <f>'Formato 6 c)'!D53</f>
        <v>2017453451.7700019</v>
      </c>
      <c r="S45" s="18">
        <f>'Formato 6 c)'!E53</f>
        <v>1958155208.4600022</v>
      </c>
      <c r="T45" s="18">
        <f>'Formato 6 c)'!F53</f>
        <v>1927787410.0100021</v>
      </c>
      <c r="U45" s="18">
        <f>'Formato 6 c)'!G53</f>
        <v>59298243.309999704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2095786326.5500009</v>
      </c>
      <c r="Q50" s="18">
        <f>'Formato 6 c)'!C58</f>
        <v>-78332874.779999018</v>
      </c>
      <c r="R50" s="18">
        <f>'Formato 6 c)'!D58</f>
        <v>2017453451.7700019</v>
      </c>
      <c r="S50" s="18">
        <f>'Formato 6 c)'!E58</f>
        <v>1958155208.4600022</v>
      </c>
      <c r="T50" s="18">
        <f>'Formato 6 c)'!F58</f>
        <v>1927787410.0100021</v>
      </c>
      <c r="U50" s="18">
        <f>'Formato 6 c)'!G58</f>
        <v>59298243.309999704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8632586.4699999969</v>
      </c>
      <c r="Q53" s="18">
        <f>'Formato 6 c)'!C61</f>
        <v>161115782.22000009</v>
      </c>
      <c r="R53" s="18">
        <f>'Formato 6 c)'!D61</f>
        <v>169748368.69000009</v>
      </c>
      <c r="S53" s="18">
        <f>'Formato 6 c)'!E61</f>
        <v>65320326.270000018</v>
      </c>
      <c r="T53" s="18">
        <f>'Formato 6 c)'!F61</f>
        <v>64340252.800000019</v>
      </c>
      <c r="U53" s="18">
        <f>'Formato 6 c)'!G61</f>
        <v>104428042.42000008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8632586.4699999969</v>
      </c>
      <c r="Q61" s="18">
        <f>'Formato 6 c)'!C69</f>
        <v>161115782.22000009</v>
      </c>
      <c r="R61" s="18">
        <f>'Formato 6 c)'!D69</f>
        <v>169748368.69000009</v>
      </c>
      <c r="S61" s="18">
        <f>'Formato 6 c)'!E69</f>
        <v>65320326.270000018</v>
      </c>
      <c r="T61" s="18">
        <f>'Formato 6 c)'!F69</f>
        <v>64340252.800000019</v>
      </c>
      <c r="U61" s="18">
        <f>'Formato 6 c)'!G69</f>
        <v>104428042.42000008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4345204538.0000019</v>
      </c>
      <c r="Q68" s="18">
        <f>'Formato 6 c)'!C77</f>
        <v>-168354061.22000101</v>
      </c>
      <c r="R68" s="18">
        <f>'Formato 6 c)'!D77</f>
        <v>4176850476.7800002</v>
      </c>
      <c r="S68" s="18">
        <f>'Formato 6 c)'!E77</f>
        <v>3530595141.0799999</v>
      </c>
      <c r="T68" s="18">
        <f>'Formato 6 c)'!F77</f>
        <v>3453763956.3199987</v>
      </c>
      <c r="U68" s="18">
        <f>'Formato 6 c)'!G77</f>
        <v>646255335.70000064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UNIVERSIDAD DE GUANAJUATO, Gobierno del Estado de Guanajuato</v>
      </c>
    </row>
    <row r="7" spans="2:3" ht="14.25" x14ac:dyDescent="0.45">
      <c r="C7" t="str">
        <f>CONCATENATE(ENTE_PUBLICO," (a)")</f>
        <v>UNIVERSIDAD DE GUANAJUATO,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3135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Gobierno del Estado de Guanajuato</v>
      </c>
    </row>
    <row r="12" spans="2:3" x14ac:dyDescent="0.25">
      <c r="B12" t="s">
        <v>794</v>
      </c>
      <c r="C12" s="24">
        <v>2018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2018 (m = g – l)</v>
      </c>
    </row>
    <row r="20" spans="4:9" ht="57" x14ac:dyDescent="0.4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ht="14.25" x14ac:dyDescent="0.4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ht="14.25" x14ac:dyDescent="0.45">
      <c r="D30" s="140">
        <v>-1.7976931348623099E+100</v>
      </c>
      <c r="E30" s="140">
        <v>1.7976931348623099E+100</v>
      </c>
    </row>
    <row r="32" spans="4:9" ht="14.25" x14ac:dyDescent="0.45">
      <c r="D32" t="s">
        <v>3145</v>
      </c>
      <c r="E32" t="s">
        <v>3146</v>
      </c>
    </row>
    <row r="33" spans="4:5" ht="14.25" x14ac:dyDescent="0.4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3" t="s">
        <v>3287</v>
      </c>
      <c r="B1" s="172"/>
      <c r="C1" s="172"/>
      <c r="D1" s="172"/>
      <c r="E1" s="172"/>
      <c r="F1" s="172"/>
      <c r="G1" s="172"/>
    </row>
    <row r="2" spans="1:7" ht="14.25" x14ac:dyDescent="0.45">
      <c r="A2" s="154" t="str">
        <f>ENTE_PUBLICO_A</f>
        <v>UNIVERSIDAD DE GUANAJUATO,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60" t="s">
        <v>277</v>
      </c>
      <c r="B3" s="161"/>
      <c r="C3" s="161"/>
      <c r="D3" s="161"/>
      <c r="E3" s="161"/>
      <c r="F3" s="161"/>
      <c r="G3" s="162"/>
    </row>
    <row r="4" spans="1:7" x14ac:dyDescent="0.25">
      <c r="A4" s="160" t="s">
        <v>399</v>
      </c>
      <c r="B4" s="161"/>
      <c r="C4" s="161"/>
      <c r="D4" s="161"/>
      <c r="E4" s="161"/>
      <c r="F4" s="161"/>
      <c r="G4" s="162"/>
    </row>
    <row r="5" spans="1:7" ht="14.25" x14ac:dyDescent="0.45">
      <c r="A5" s="160" t="str">
        <f>TRIMESTRE</f>
        <v>Del 1 de enero al 31 de diciembre de 2018 (b)</v>
      </c>
      <c r="B5" s="161"/>
      <c r="C5" s="161"/>
      <c r="D5" s="161"/>
      <c r="E5" s="161"/>
      <c r="F5" s="161"/>
      <c r="G5" s="162"/>
    </row>
    <row r="6" spans="1:7" ht="14.25" x14ac:dyDescent="0.4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361</v>
      </c>
      <c r="B7" s="174" t="s">
        <v>279</v>
      </c>
      <c r="C7" s="174"/>
      <c r="D7" s="174"/>
      <c r="E7" s="174"/>
      <c r="F7" s="174"/>
      <c r="G7" s="174" t="s">
        <v>280</v>
      </c>
    </row>
    <row r="8" spans="1:7" ht="29.25" customHeight="1" x14ac:dyDescent="0.25">
      <c r="A8" s="170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1"/>
    </row>
    <row r="9" spans="1:7" ht="14.25" x14ac:dyDescent="0.45">
      <c r="A9" s="52" t="s">
        <v>400</v>
      </c>
      <c r="B9" s="66">
        <f>SUM(B10,B11,B12,B15,B16,B19)</f>
        <v>1030888203.5200006</v>
      </c>
      <c r="C9" s="66">
        <f t="shared" ref="C9:F9" si="0">SUM(C10,C11,C12,C15,C16,C19)</f>
        <v>16936836.117605947</v>
      </c>
      <c r="D9" s="66">
        <f t="shared" si="0"/>
        <v>1047825039.6376064</v>
      </c>
      <c r="E9" s="66">
        <f t="shared" si="0"/>
        <v>857983332.49798298</v>
      </c>
      <c r="F9" s="66">
        <f t="shared" si="0"/>
        <v>857052781.17000008</v>
      </c>
      <c r="G9" s="66">
        <f>SUM(G10,G11,G12,G15,G16,G19)</f>
        <v>189841707.13962358</v>
      </c>
    </row>
    <row r="10" spans="1:7" x14ac:dyDescent="0.25">
      <c r="A10" s="53" t="s">
        <v>401</v>
      </c>
      <c r="B10" s="67">
        <v>846202824.58184409</v>
      </c>
      <c r="C10" s="67">
        <v>-34526830.726687789</v>
      </c>
      <c r="D10" s="67">
        <v>811675993.8551563</v>
      </c>
      <c r="E10" s="67">
        <v>664619042.08488798</v>
      </c>
      <c r="F10" s="67">
        <v>663898209.74452841</v>
      </c>
      <c r="G10" s="67">
        <f>D10-E10</f>
        <v>147056951.77026832</v>
      </c>
    </row>
    <row r="11" spans="1:7" x14ac:dyDescent="0.25">
      <c r="A11" s="53" t="s">
        <v>402</v>
      </c>
      <c r="B11" s="67">
        <v>137100788.28925002</v>
      </c>
      <c r="C11" s="67">
        <v>30648814.144127518</v>
      </c>
      <c r="D11" s="67">
        <v>167749602.43337753</v>
      </c>
      <c r="E11" s="67">
        <v>137357247.13239148</v>
      </c>
      <c r="F11" s="67">
        <v>137208272.24656036</v>
      </c>
      <c r="G11" s="67">
        <f>D11-E11</f>
        <v>30392355.300986052</v>
      </c>
    </row>
    <row r="12" spans="1:7" ht="14.25" x14ac:dyDescent="0.45">
      <c r="A12" s="53" t="s">
        <v>403</v>
      </c>
      <c r="B12" s="67">
        <f>B13+B14</f>
        <v>47584590.648906454</v>
      </c>
      <c r="C12" s="67">
        <f t="shared" ref="C12:F12" si="1">C13+C14</f>
        <v>20802300.770166218</v>
      </c>
      <c r="D12" s="67">
        <f t="shared" si="1"/>
        <v>68386891.419072673</v>
      </c>
      <c r="E12" s="67">
        <f t="shared" si="1"/>
        <v>55996835.330703452</v>
      </c>
      <c r="F12" s="67">
        <f t="shared" si="1"/>
        <v>55946299.178911306</v>
      </c>
      <c r="G12" s="67">
        <f>G13+G14</f>
        <v>12390056.088369219</v>
      </c>
    </row>
    <row r="13" spans="1:7" x14ac:dyDescent="0.25">
      <c r="A13" s="63" t="s">
        <v>404</v>
      </c>
      <c r="B13" s="67">
        <v>41432761.022531822</v>
      </c>
      <c r="C13" s="67">
        <v>-30811846.020150565</v>
      </c>
      <c r="D13" s="67">
        <v>10620915.002381256</v>
      </c>
      <c r="E13" s="67">
        <v>8696650.397926271</v>
      </c>
      <c r="F13" s="67">
        <v>8687218.1871970072</v>
      </c>
      <c r="G13" s="67">
        <f>D13-E13</f>
        <v>1924264.6044549849</v>
      </c>
    </row>
    <row r="14" spans="1:7" x14ac:dyDescent="0.25">
      <c r="A14" s="63" t="s">
        <v>405</v>
      </c>
      <c r="B14" s="67">
        <v>6151829.6263746349</v>
      </c>
      <c r="C14" s="67">
        <v>51614146.790316783</v>
      </c>
      <c r="D14" s="67">
        <v>57765976.416691415</v>
      </c>
      <c r="E14" s="67">
        <v>47300184.932777181</v>
      </c>
      <c r="F14" s="67">
        <v>47259080.991714299</v>
      </c>
      <c r="G14" s="67">
        <f t="shared" ref="G14:G15" si="2">D14-E14</f>
        <v>10465791.483914234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12551.93</v>
      </c>
      <c r="D19" s="67">
        <v>12551.93</v>
      </c>
      <c r="E19" s="67">
        <v>10207.950000000001</v>
      </c>
      <c r="F19" s="67">
        <v>0</v>
      </c>
      <c r="G19" s="67">
        <f>D19-E19</f>
        <v>2343.9799999999996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1651209675.9299965</v>
      </c>
      <c r="C21" s="66">
        <f t="shared" ref="C21:F21" si="4">SUM(C22,C23,C24,C27,C28,C31)</f>
        <v>109758969.99000369</v>
      </c>
      <c r="D21" s="66">
        <f t="shared" si="4"/>
        <v>1760968645.9200001</v>
      </c>
      <c r="E21" s="66">
        <f t="shared" si="4"/>
        <v>1739252994.3599999</v>
      </c>
      <c r="F21" s="66">
        <f t="shared" si="4"/>
        <v>1712633764.5700002</v>
      </c>
      <c r="G21" s="66">
        <f>SUM(G22,G23,G24,G27,G28,G31)</f>
        <v>21715651.560000025</v>
      </c>
    </row>
    <row r="22" spans="1:7" s="24" customFormat="1" x14ac:dyDescent="0.25">
      <c r="A22" s="53" t="s">
        <v>401</v>
      </c>
      <c r="B22" s="67">
        <v>270344133.52256292</v>
      </c>
      <c r="C22" s="67">
        <v>39655219.657924891</v>
      </c>
      <c r="D22" s="67">
        <v>309999353.18048781</v>
      </c>
      <c r="E22" s="67">
        <v>306176549.20661247</v>
      </c>
      <c r="F22" s="67">
        <v>301490523.68527126</v>
      </c>
      <c r="G22" s="67">
        <f>D22-E22</f>
        <v>3822803.9738753438</v>
      </c>
    </row>
    <row r="23" spans="1:7" s="24" customFormat="1" x14ac:dyDescent="0.25">
      <c r="A23" s="53" t="s">
        <v>402</v>
      </c>
      <c r="B23" s="67">
        <v>1376648323.2369599</v>
      </c>
      <c r="C23" s="67">
        <v>69026379.989479065</v>
      </c>
      <c r="D23" s="67">
        <v>1445674703.226439</v>
      </c>
      <c r="E23" s="67">
        <v>1427847146.6727726</v>
      </c>
      <c r="F23" s="67">
        <v>1406026117.6591203</v>
      </c>
      <c r="G23" s="67">
        <f>D23-E23</f>
        <v>17827556.553666353</v>
      </c>
    </row>
    <row r="24" spans="1:7" s="24" customFormat="1" ht="14.25" x14ac:dyDescent="0.45">
      <c r="A24" s="53" t="s">
        <v>403</v>
      </c>
      <c r="B24" s="67">
        <f>B25+B26</f>
        <v>3859529.9642433682</v>
      </c>
      <c r="C24" s="67">
        <f t="shared" ref="C24:G24" si="5">C25+C26</f>
        <v>1025520.418164497</v>
      </c>
      <c r="D24" s="67">
        <f t="shared" si="5"/>
        <v>4885050.3824078646</v>
      </c>
      <c r="E24" s="67">
        <f t="shared" si="5"/>
        <v>4863141.290614957</v>
      </c>
      <c r="F24" s="67">
        <f t="shared" si="5"/>
        <v>4750966.0356084369</v>
      </c>
      <c r="G24" s="67">
        <f t="shared" si="5"/>
        <v>21909.091792908031</v>
      </c>
    </row>
    <row r="25" spans="1:7" s="24" customFormat="1" x14ac:dyDescent="0.25">
      <c r="A25" s="63" t="s">
        <v>404</v>
      </c>
      <c r="B25" s="67">
        <v>1410359.7237694233</v>
      </c>
      <c r="C25" s="67">
        <v>209464.23449315713</v>
      </c>
      <c r="D25" s="67">
        <v>1619823.9582625804</v>
      </c>
      <c r="E25" s="67">
        <v>1599848.8537951224</v>
      </c>
      <c r="F25" s="67">
        <v>1575363.2013877155</v>
      </c>
      <c r="G25" s="67">
        <f>D25-E25</f>
        <v>19975.104467458092</v>
      </c>
    </row>
    <row r="26" spans="1:7" s="24" customFormat="1" x14ac:dyDescent="0.25">
      <c r="A26" s="63" t="s">
        <v>405</v>
      </c>
      <c r="B26" s="67">
        <v>2449170.2404739447</v>
      </c>
      <c r="C26" s="67">
        <v>816056.18367133988</v>
      </c>
      <c r="D26" s="67">
        <v>3265226.4241452846</v>
      </c>
      <c r="E26" s="67">
        <v>3263292.4368198346</v>
      </c>
      <c r="F26" s="67">
        <v>3175602.8342207214</v>
      </c>
      <c r="G26" s="67">
        <f t="shared" ref="G26:G27" si="6">D26-E26</f>
        <v>1933.9873254499398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357689.20623017027</v>
      </c>
      <c r="C31" s="67">
        <v>51849.924435248715</v>
      </c>
      <c r="D31" s="67">
        <v>409539.13066541898</v>
      </c>
      <c r="E31" s="67">
        <v>366157.19</v>
      </c>
      <c r="F31" s="67">
        <v>366157.19</v>
      </c>
      <c r="G31" s="67">
        <f t="shared" si="8"/>
        <v>43381.940665418981</v>
      </c>
    </row>
    <row r="32" spans="1:7" ht="14.25" x14ac:dyDescent="0.45">
      <c r="A32" s="54"/>
      <c r="B32" s="68"/>
      <c r="C32" s="68"/>
      <c r="D32" s="68"/>
      <c r="E32" s="68"/>
      <c r="F32" s="68"/>
      <c r="G32" s="68"/>
    </row>
    <row r="33" spans="1:7" ht="14.25" x14ac:dyDescent="0.45">
      <c r="A33" s="55" t="s">
        <v>412</v>
      </c>
      <c r="B33" s="66">
        <f>B21+B9</f>
        <v>2682097879.4499969</v>
      </c>
      <c r="C33" s="66">
        <f t="shared" ref="C33:G33" si="9">C21+C9</f>
        <v>126695806.10760963</v>
      </c>
      <c r="D33" s="66">
        <f t="shared" si="9"/>
        <v>2808793685.5576067</v>
      </c>
      <c r="E33" s="66">
        <f t="shared" si="9"/>
        <v>2597236326.8579826</v>
      </c>
      <c r="F33" s="66">
        <f t="shared" si="9"/>
        <v>2569686545.7400002</v>
      </c>
      <c r="G33" s="66">
        <f t="shared" si="9"/>
        <v>211557358.69962361</v>
      </c>
    </row>
    <row r="34" spans="1:7" ht="14.25" x14ac:dyDescent="0.4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1030888203.5200006</v>
      </c>
      <c r="Q2" s="18">
        <f>'Formato 6 d)'!C9</f>
        <v>16936836.117605947</v>
      </c>
      <c r="R2" s="18">
        <f>'Formato 6 d)'!D9</f>
        <v>1047825039.6376064</v>
      </c>
      <c r="S2" s="18">
        <f>'Formato 6 d)'!E9</f>
        <v>857983332.49798298</v>
      </c>
      <c r="T2" s="18">
        <f>'Formato 6 d)'!F9</f>
        <v>857052781.17000008</v>
      </c>
      <c r="U2" s="18">
        <f>'Formato 6 d)'!G9</f>
        <v>189841707.13962358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846202824.58184409</v>
      </c>
      <c r="Q3" s="18">
        <f>'Formato 6 d)'!C10</f>
        <v>-34526830.726687789</v>
      </c>
      <c r="R3" s="18">
        <f>'Formato 6 d)'!D10</f>
        <v>811675993.8551563</v>
      </c>
      <c r="S3" s="18">
        <f>'Formato 6 d)'!E10</f>
        <v>664619042.08488798</v>
      </c>
      <c r="T3" s="18">
        <f>'Formato 6 d)'!F10</f>
        <v>663898209.74452841</v>
      </c>
      <c r="U3" s="18">
        <f>'Formato 6 d)'!G10</f>
        <v>147056951.77026832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137100788.28925002</v>
      </c>
      <c r="Q4" s="18">
        <f>'Formato 6 d)'!C11</f>
        <v>30648814.144127518</v>
      </c>
      <c r="R4" s="18">
        <f>'Formato 6 d)'!D11</f>
        <v>167749602.43337753</v>
      </c>
      <c r="S4" s="18">
        <f>'Formato 6 d)'!E11</f>
        <v>137357247.13239148</v>
      </c>
      <c r="T4" s="18">
        <f>'Formato 6 d)'!F11</f>
        <v>137208272.24656036</v>
      </c>
      <c r="U4" s="18">
        <f>'Formato 6 d)'!G11</f>
        <v>30392355.300986052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47584590.648906454</v>
      </c>
      <c r="Q5" s="18">
        <f>'Formato 6 d)'!C12</f>
        <v>20802300.770166218</v>
      </c>
      <c r="R5" s="18">
        <f>'Formato 6 d)'!D12</f>
        <v>68386891.419072673</v>
      </c>
      <c r="S5" s="18">
        <f>'Formato 6 d)'!E12</f>
        <v>55996835.330703452</v>
      </c>
      <c r="T5" s="18">
        <f>'Formato 6 d)'!F12</f>
        <v>55946299.178911306</v>
      </c>
      <c r="U5" s="18">
        <f>'Formato 6 d)'!G12</f>
        <v>12390056.088369219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41432761.022531822</v>
      </c>
      <c r="Q6" s="18">
        <f>'Formato 6 d)'!C13</f>
        <v>-30811846.020150565</v>
      </c>
      <c r="R6" s="18">
        <f>'Formato 6 d)'!D13</f>
        <v>10620915.002381256</v>
      </c>
      <c r="S6" s="18">
        <f>'Formato 6 d)'!E13</f>
        <v>8696650.397926271</v>
      </c>
      <c r="T6" s="18">
        <f>'Formato 6 d)'!F13</f>
        <v>8687218.1871970072</v>
      </c>
      <c r="U6" s="18">
        <f>'Formato 6 d)'!G13</f>
        <v>1924264.6044549849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6151829.6263746349</v>
      </c>
      <c r="Q7" s="18">
        <f>'Formato 6 d)'!C14</f>
        <v>51614146.790316783</v>
      </c>
      <c r="R7" s="18">
        <f>'Formato 6 d)'!D14</f>
        <v>57765976.416691415</v>
      </c>
      <c r="S7" s="18">
        <f>'Formato 6 d)'!E14</f>
        <v>47300184.932777181</v>
      </c>
      <c r="T7" s="18">
        <f>'Formato 6 d)'!F14</f>
        <v>47259080.991714299</v>
      </c>
      <c r="U7" s="18">
        <f>'Formato 6 d)'!G14</f>
        <v>10465791.483914234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12551.93</v>
      </c>
      <c r="R12" s="18">
        <f>'Formato 6 d)'!D19</f>
        <v>12551.93</v>
      </c>
      <c r="S12" s="18">
        <f>'Formato 6 d)'!E19</f>
        <v>10207.950000000001</v>
      </c>
      <c r="T12" s="18">
        <f>'Formato 6 d)'!F19</f>
        <v>0</v>
      </c>
      <c r="U12" s="18">
        <f>'Formato 6 d)'!G19</f>
        <v>2343.9799999999996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1651209675.9299965</v>
      </c>
      <c r="Q13" s="18">
        <f>'Formato 6 d)'!C21</f>
        <v>109758969.99000369</v>
      </c>
      <c r="R13" s="18">
        <f>'Formato 6 d)'!D21</f>
        <v>1760968645.9200001</v>
      </c>
      <c r="S13" s="18">
        <f>'Formato 6 d)'!E21</f>
        <v>1739252994.3599999</v>
      </c>
      <c r="T13" s="18">
        <f>'Formato 6 d)'!F21</f>
        <v>1712633764.5700002</v>
      </c>
      <c r="U13" s="18">
        <f>'Formato 6 d)'!G21</f>
        <v>21715651.560000025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270344133.52256292</v>
      </c>
      <c r="Q14" s="18">
        <f>'Formato 6 d)'!C22</f>
        <v>39655219.657924891</v>
      </c>
      <c r="R14" s="18">
        <f>'Formato 6 d)'!D22</f>
        <v>309999353.18048781</v>
      </c>
      <c r="S14" s="18">
        <f>'Formato 6 d)'!E22</f>
        <v>306176549.20661247</v>
      </c>
      <c r="T14" s="18">
        <f>'Formato 6 d)'!F22</f>
        <v>301490523.68527126</v>
      </c>
      <c r="U14" s="18">
        <f>'Formato 6 d)'!G22</f>
        <v>3822803.9738753438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1376648323.2369599</v>
      </c>
      <c r="Q15" s="18">
        <f>'Formato 6 d)'!C23</f>
        <v>69026379.989479065</v>
      </c>
      <c r="R15" s="18">
        <f>'Formato 6 d)'!D23</f>
        <v>1445674703.226439</v>
      </c>
      <c r="S15" s="18">
        <f>'Formato 6 d)'!E23</f>
        <v>1427847146.6727726</v>
      </c>
      <c r="T15" s="18">
        <f>'Formato 6 d)'!F23</f>
        <v>1406026117.6591203</v>
      </c>
      <c r="U15" s="18">
        <f>'Formato 6 d)'!G23</f>
        <v>17827556.553666353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3859529.9642433682</v>
      </c>
      <c r="Q16" s="18">
        <f>'Formato 6 d)'!C24</f>
        <v>1025520.418164497</v>
      </c>
      <c r="R16" s="18">
        <f>'Formato 6 d)'!D24</f>
        <v>4885050.3824078646</v>
      </c>
      <c r="S16" s="18">
        <f>'Formato 6 d)'!E24</f>
        <v>4863141.290614957</v>
      </c>
      <c r="T16" s="18">
        <f>'Formato 6 d)'!F24</f>
        <v>4750966.0356084369</v>
      </c>
      <c r="U16" s="18">
        <f>'Formato 6 d)'!G24</f>
        <v>21909.091792908031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1410359.7237694233</v>
      </c>
      <c r="Q17" s="18">
        <f>'Formato 6 d)'!C25</f>
        <v>209464.23449315713</v>
      </c>
      <c r="R17" s="18">
        <f>'Formato 6 d)'!D25</f>
        <v>1619823.9582625804</v>
      </c>
      <c r="S17" s="18">
        <f>'Formato 6 d)'!E25</f>
        <v>1599848.8537951224</v>
      </c>
      <c r="T17" s="18">
        <f>'Formato 6 d)'!F25</f>
        <v>1575363.2013877155</v>
      </c>
      <c r="U17" s="18">
        <f>'Formato 6 d)'!G25</f>
        <v>19975.104467458092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2449170.2404739447</v>
      </c>
      <c r="Q18" s="18">
        <f>'Formato 6 d)'!C26</f>
        <v>816056.18367133988</v>
      </c>
      <c r="R18" s="18">
        <f>'Formato 6 d)'!D26</f>
        <v>3265226.4241452846</v>
      </c>
      <c r="S18" s="18">
        <f>'Formato 6 d)'!E26</f>
        <v>3263292.4368198346</v>
      </c>
      <c r="T18" s="18">
        <f>'Formato 6 d)'!F26</f>
        <v>3175602.8342207214</v>
      </c>
      <c r="U18" s="18">
        <f>'Formato 6 d)'!G26</f>
        <v>1933.9873254499398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357689.20623017027</v>
      </c>
      <c r="Q23" s="18">
        <f>'Formato 6 d)'!C31</f>
        <v>51849.924435248715</v>
      </c>
      <c r="R23" s="18">
        <f>'Formato 6 d)'!D31</f>
        <v>409539.13066541898</v>
      </c>
      <c r="S23" s="18">
        <f>'Formato 6 d)'!E31</f>
        <v>366157.19</v>
      </c>
      <c r="T23" s="18">
        <f>'Formato 6 d)'!F31</f>
        <v>366157.19</v>
      </c>
      <c r="U23" s="18">
        <f>'Formato 6 d)'!G31</f>
        <v>43381.940665418981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2682097879.4499969</v>
      </c>
      <c r="Q24" s="18">
        <f>'Formato 6 d)'!C33</f>
        <v>126695806.10760963</v>
      </c>
      <c r="R24" s="18">
        <f>'Formato 6 d)'!D33</f>
        <v>2808793685.5576067</v>
      </c>
      <c r="S24" s="18">
        <f>'Formato 6 d)'!E33</f>
        <v>2597236326.8579826</v>
      </c>
      <c r="T24" s="18">
        <f>'Formato 6 d)'!F33</f>
        <v>2569686545.7400002</v>
      </c>
      <c r="U24" s="18">
        <f>'Formato 6 d)'!G33</f>
        <v>211557358.69962361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ht="14.25" x14ac:dyDescent="0.45">
      <c r="A30" s="3"/>
      <c r="P30" s="18"/>
      <c r="Q30" s="18"/>
      <c r="R30" s="18"/>
      <c r="S30" s="18"/>
      <c r="T30" s="18"/>
      <c r="U30" s="18"/>
    </row>
    <row r="31" spans="1:21" ht="14.25" x14ac:dyDescent="0.45">
      <c r="A31" s="3"/>
      <c r="P31" s="18"/>
      <c r="Q31" s="18"/>
      <c r="R31" s="18"/>
      <c r="S31" s="18"/>
      <c r="T31" s="18"/>
      <c r="U31" s="18"/>
    </row>
    <row r="32" spans="1:21" ht="14.25" x14ac:dyDescent="0.45">
      <c r="A32" s="3"/>
      <c r="P32" s="18"/>
      <c r="Q32" s="18"/>
      <c r="R32" s="18"/>
      <c r="S32" s="18"/>
      <c r="T32" s="18"/>
      <c r="U32" s="18"/>
    </row>
    <row r="33" spans="1:21" ht="14.25" x14ac:dyDescent="0.45">
      <c r="A33" s="3"/>
      <c r="P33" s="18"/>
      <c r="Q33" s="18"/>
      <c r="R33" s="18"/>
      <c r="S33" s="18"/>
      <c r="T33" s="18"/>
      <c r="U33" s="18"/>
    </row>
    <row r="34" spans="1:21" ht="14.25" x14ac:dyDescent="0.45">
      <c r="A34" s="3"/>
      <c r="P34" s="18"/>
      <c r="Q34" s="18"/>
      <c r="R34" s="18"/>
      <c r="S34" s="18"/>
      <c r="T34" s="18"/>
      <c r="U34" s="18"/>
    </row>
    <row r="35" spans="1:21" ht="14.25" x14ac:dyDescent="0.45">
      <c r="A35" s="3"/>
      <c r="P35" s="18"/>
      <c r="Q35" s="18"/>
      <c r="R35" s="18"/>
      <c r="S35" s="18"/>
      <c r="T35" s="18"/>
      <c r="U35" s="18"/>
    </row>
    <row r="36" spans="1:21" ht="14.25" x14ac:dyDescent="0.4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B29" sqref="B29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2" t="s">
        <v>413</v>
      </c>
      <c r="B1" s="172"/>
      <c r="C1" s="172"/>
      <c r="D1" s="172"/>
      <c r="E1" s="172"/>
      <c r="F1" s="172"/>
      <c r="G1" s="172"/>
    </row>
    <row r="2" spans="1:7" ht="14.25" x14ac:dyDescent="0.45">
      <c r="A2" s="154" t="str">
        <f>ENTIDAD</f>
        <v>Gobierno del Estado de Guanajuato</v>
      </c>
      <c r="B2" s="155"/>
      <c r="C2" s="155"/>
      <c r="D2" s="155"/>
      <c r="E2" s="155"/>
      <c r="F2" s="155"/>
      <c r="G2" s="156"/>
    </row>
    <row r="3" spans="1:7" ht="14.25" x14ac:dyDescent="0.45">
      <c r="A3" s="157" t="s">
        <v>414</v>
      </c>
      <c r="B3" s="158"/>
      <c r="C3" s="158"/>
      <c r="D3" s="158"/>
      <c r="E3" s="158"/>
      <c r="F3" s="158"/>
      <c r="G3" s="159"/>
    </row>
    <row r="4" spans="1:7" ht="14.25" x14ac:dyDescent="0.45">
      <c r="A4" s="157" t="s">
        <v>118</v>
      </c>
      <c r="B4" s="158"/>
      <c r="C4" s="158"/>
      <c r="D4" s="158"/>
      <c r="E4" s="158"/>
      <c r="F4" s="158"/>
      <c r="G4" s="159"/>
    </row>
    <row r="5" spans="1:7" ht="14.25" x14ac:dyDescent="0.45">
      <c r="A5" s="157" t="s">
        <v>415</v>
      </c>
      <c r="B5" s="158"/>
      <c r="C5" s="158"/>
      <c r="D5" s="158"/>
      <c r="E5" s="158"/>
      <c r="F5" s="158"/>
      <c r="G5" s="159"/>
    </row>
    <row r="6" spans="1:7" x14ac:dyDescent="0.25">
      <c r="A6" s="169" t="s">
        <v>3288</v>
      </c>
      <c r="B6" s="51">
        <f>ANIO1P</f>
        <v>2019</v>
      </c>
      <c r="C6" s="182" t="str">
        <f>ANIO2P</f>
        <v>2020 (d)</v>
      </c>
      <c r="D6" s="182" t="str">
        <f>ANIO3P</f>
        <v>2021 (d)</v>
      </c>
      <c r="E6" s="182" t="str">
        <f>ANIO4P</f>
        <v>2022 (d)</v>
      </c>
      <c r="F6" s="182" t="str">
        <f>ANIO5P</f>
        <v>2023 (d)</v>
      </c>
      <c r="G6" s="182" t="str">
        <f>ANIO6P</f>
        <v>2024 (d)</v>
      </c>
    </row>
    <row r="7" spans="1:7" ht="48" customHeight="1" x14ac:dyDescent="0.25">
      <c r="A7" s="170"/>
      <c r="B7" s="88" t="s">
        <v>3291</v>
      </c>
      <c r="C7" s="183"/>
      <c r="D7" s="183"/>
      <c r="E7" s="183"/>
      <c r="F7" s="183"/>
      <c r="G7" s="183"/>
    </row>
    <row r="8" spans="1:7" x14ac:dyDescent="0.25">
      <c r="A8" s="52" t="s">
        <v>421</v>
      </c>
      <c r="B8" s="59">
        <f>SUM(B9:B20)</f>
        <v>0</v>
      </c>
      <c r="C8" s="59">
        <f t="shared" ref="C8:G8" si="0">SUM(C9:C20)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ht="14.25" x14ac:dyDescent="0.4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25" x14ac:dyDescent="0.4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25" x14ac:dyDescent="0.4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25" x14ac:dyDescent="0.4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25" x14ac:dyDescent="0.4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14.25" x14ac:dyDescent="0.4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x14ac:dyDescent="0.45">
      <c r="A15" s="53" t="s">
        <v>417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ht="14.25" x14ac:dyDescent="0.4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25" x14ac:dyDescent="0.4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ht="14.25" x14ac:dyDescent="0.4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ht="14.25" x14ac:dyDescent="0.4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14.25" x14ac:dyDescent="0.4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25" x14ac:dyDescent="0.4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4.25" x14ac:dyDescent="0.4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ht="14.25" x14ac:dyDescent="0.4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ht="14.25" x14ac:dyDescent="0.4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ht="14.25" x14ac:dyDescent="0.45">
      <c r="A31" s="54"/>
      <c r="B31" s="54"/>
      <c r="C31" s="54"/>
      <c r="D31" s="54"/>
      <c r="E31" s="54"/>
      <c r="F31" s="54"/>
      <c r="G31" s="54"/>
    </row>
    <row r="32" spans="1:7" ht="14.25" x14ac:dyDescent="0.45">
      <c r="A32" s="14" t="s">
        <v>427</v>
      </c>
      <c r="B32" s="61">
        <f>B29+B22+B8</f>
        <v>0</v>
      </c>
      <c r="C32" s="61">
        <f t="shared" ref="C32:F32" si="3">C29+C22+C8</f>
        <v>0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ht="14.25" x14ac:dyDescent="0.45">
      <c r="A33" s="54"/>
      <c r="B33" s="54"/>
      <c r="C33" s="54"/>
      <c r="D33" s="54"/>
      <c r="E33" s="54"/>
      <c r="F33" s="54"/>
      <c r="G33" s="54"/>
    </row>
    <row r="34" spans="1:7" ht="14.25" x14ac:dyDescent="0.4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28.5" x14ac:dyDescent="0.4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ht="14.25" x14ac:dyDescent="0.4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ht="14.25" x14ac:dyDescent="0.4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0</v>
      </c>
      <c r="Q2" s="18">
        <f>'Formato 7 a)'!C8</f>
        <v>0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0</v>
      </c>
      <c r="Q23" s="18">
        <f>'Formato 7 a)'!C32</f>
        <v>0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ht="14.25" x14ac:dyDescent="0.4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ht="14.25" x14ac:dyDescent="0.4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ht="14.25" x14ac:dyDescent="0.45">
      <c r="A30" s="3"/>
      <c r="P30" s="18"/>
      <c r="Q30" s="18"/>
      <c r="R30" s="18"/>
      <c r="S30" s="18"/>
      <c r="T30" s="18"/>
      <c r="U30" s="18"/>
    </row>
    <row r="31" spans="1:21" ht="14.25" x14ac:dyDescent="0.45">
      <c r="A31" s="3"/>
      <c r="P31" s="18"/>
      <c r="Q31" s="18"/>
      <c r="R31" s="18"/>
      <c r="S31" s="18"/>
      <c r="T31" s="18"/>
      <c r="U31" s="18"/>
    </row>
    <row r="32" spans="1:21" ht="14.25" x14ac:dyDescent="0.45">
      <c r="A32" s="3"/>
      <c r="P32" s="18"/>
      <c r="Q32" s="18"/>
      <c r="R32" s="18"/>
      <c r="S32" s="18"/>
      <c r="T32" s="18"/>
      <c r="U32" s="18"/>
    </row>
    <row r="33" spans="1:21" ht="14.25" x14ac:dyDescent="0.45">
      <c r="A33" s="3"/>
      <c r="P33" s="18"/>
      <c r="Q33" s="18"/>
      <c r="R33" s="18"/>
      <c r="S33" s="18"/>
      <c r="T33" s="18"/>
      <c r="U33" s="18"/>
    </row>
    <row r="34" spans="1:21" ht="14.25" x14ac:dyDescent="0.45">
      <c r="A34" s="3"/>
      <c r="P34" s="18"/>
      <c r="Q34" s="18"/>
      <c r="R34" s="18"/>
      <c r="S34" s="18"/>
      <c r="T34" s="18"/>
      <c r="U34" s="18"/>
    </row>
    <row r="35" spans="1:21" ht="14.25" x14ac:dyDescent="0.45">
      <c r="A35" s="3"/>
      <c r="P35" s="18"/>
      <c r="Q35" s="18"/>
      <c r="R35" s="18"/>
      <c r="S35" s="18"/>
      <c r="T35" s="18"/>
      <c r="U35" s="18"/>
    </row>
    <row r="36" spans="1:21" ht="14.25" x14ac:dyDescent="0.4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17" sqref="B17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2" t="s">
        <v>451</v>
      </c>
      <c r="B1" s="172"/>
      <c r="C1" s="172"/>
      <c r="D1" s="172"/>
      <c r="E1" s="172"/>
      <c r="F1" s="172"/>
      <c r="G1" s="172"/>
    </row>
    <row r="2" spans="1:7" customFormat="1" ht="14.25" x14ac:dyDescent="0.45">
      <c r="A2" s="154" t="str">
        <f>ENTIDAD</f>
        <v>Gobierno del Estado de Guanajuato</v>
      </c>
      <c r="B2" s="155"/>
      <c r="C2" s="155"/>
      <c r="D2" s="155"/>
      <c r="E2" s="155"/>
      <c r="F2" s="155"/>
      <c r="G2" s="156"/>
    </row>
    <row r="3" spans="1:7" customFormat="1" ht="14.25" x14ac:dyDescent="0.45">
      <c r="A3" s="157" t="s">
        <v>452</v>
      </c>
      <c r="B3" s="158"/>
      <c r="C3" s="158"/>
      <c r="D3" s="158"/>
      <c r="E3" s="158"/>
      <c r="F3" s="158"/>
      <c r="G3" s="159"/>
    </row>
    <row r="4" spans="1:7" customFormat="1" ht="14.25" x14ac:dyDescent="0.45">
      <c r="A4" s="157" t="s">
        <v>118</v>
      </c>
      <c r="B4" s="158"/>
      <c r="C4" s="158"/>
      <c r="D4" s="158"/>
      <c r="E4" s="158"/>
      <c r="F4" s="158"/>
      <c r="G4" s="159"/>
    </row>
    <row r="5" spans="1:7" customFormat="1" ht="14.25" x14ac:dyDescent="0.45">
      <c r="A5" s="157" t="s">
        <v>415</v>
      </c>
      <c r="B5" s="158"/>
      <c r="C5" s="158"/>
      <c r="D5" s="158"/>
      <c r="E5" s="158"/>
      <c r="F5" s="158"/>
      <c r="G5" s="159"/>
    </row>
    <row r="6" spans="1:7" customFormat="1" x14ac:dyDescent="0.25">
      <c r="A6" s="184" t="s">
        <v>3142</v>
      </c>
      <c r="B6" s="51">
        <f>ANIO1P</f>
        <v>2019</v>
      </c>
      <c r="C6" s="182" t="str">
        <f>ANIO2P</f>
        <v>2020 (d)</v>
      </c>
      <c r="D6" s="182" t="str">
        <f>ANIO3P</f>
        <v>2021 (d)</v>
      </c>
      <c r="E6" s="182" t="str">
        <f>ANIO4P</f>
        <v>2022 (d)</v>
      </c>
      <c r="F6" s="182" t="str">
        <f>ANIO5P</f>
        <v>2023 (d)</v>
      </c>
      <c r="G6" s="182" t="str">
        <f>ANIO6P</f>
        <v>2024 (d)</v>
      </c>
    </row>
    <row r="7" spans="1:7" customFormat="1" ht="48" customHeight="1" x14ac:dyDescent="0.25">
      <c r="A7" s="185"/>
      <c r="B7" s="88" t="s">
        <v>3291</v>
      </c>
      <c r="C7" s="183"/>
      <c r="D7" s="183"/>
      <c r="E7" s="183"/>
      <c r="F7" s="183"/>
      <c r="G7" s="183"/>
    </row>
    <row r="8" spans="1:7" x14ac:dyDescent="0.25">
      <c r="A8" s="52" t="s">
        <v>453</v>
      </c>
      <c r="B8" s="59">
        <f>SUM(B9:B17)</f>
        <v>0</v>
      </c>
      <c r="C8" s="59">
        <f t="shared" ref="C8:G8" si="0">SUM(C9:C17)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ht="14.25" x14ac:dyDescent="0.4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0</v>
      </c>
      <c r="C30" s="61">
        <f t="shared" ref="C30:G30" si="2">C8+C19</f>
        <v>0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ht="14.25" x14ac:dyDescent="0.4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0</v>
      </c>
      <c r="Q2" s="18">
        <f>'Formato 7 b)'!C8</f>
        <v>0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0</v>
      </c>
      <c r="Q3" s="18">
        <f>'Formato 7 b)'!C9</f>
        <v>0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0</v>
      </c>
      <c r="Q5" s="18">
        <f>'Formato 7 b)'!C11</f>
        <v>0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0</v>
      </c>
      <c r="Q22" s="18">
        <f>'Formato 7 b)'!C30</f>
        <v>0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B31" sqref="B31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2" t="s">
        <v>466</v>
      </c>
      <c r="B1" s="172"/>
      <c r="C1" s="172"/>
      <c r="D1" s="172"/>
      <c r="E1" s="172"/>
      <c r="F1" s="172"/>
      <c r="G1" s="172"/>
    </row>
    <row r="2" spans="1:7" ht="14.25" x14ac:dyDescent="0.45">
      <c r="A2" s="154" t="str">
        <f>ENTIDAD</f>
        <v>Gobierno del Estado de Guanajuato</v>
      </c>
      <c r="B2" s="155"/>
      <c r="C2" s="155"/>
      <c r="D2" s="155"/>
      <c r="E2" s="155"/>
      <c r="F2" s="155"/>
      <c r="G2" s="156"/>
    </row>
    <row r="3" spans="1:7" ht="14.25" x14ac:dyDescent="0.45">
      <c r="A3" s="157" t="s">
        <v>467</v>
      </c>
      <c r="B3" s="158"/>
      <c r="C3" s="158"/>
      <c r="D3" s="158"/>
      <c r="E3" s="158"/>
      <c r="F3" s="158"/>
      <c r="G3" s="159"/>
    </row>
    <row r="4" spans="1:7" ht="14.25" x14ac:dyDescent="0.45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89" t="s">
        <v>3288</v>
      </c>
      <c r="B5" s="187" t="str">
        <f>ANIO5R</f>
        <v>2013 ¹ (c)</v>
      </c>
      <c r="C5" s="187" t="str">
        <f>ANIO4R</f>
        <v>2014 ¹ (c)</v>
      </c>
      <c r="D5" s="187" t="str">
        <f>ANIO3R</f>
        <v>2015 ¹ (c)</v>
      </c>
      <c r="E5" s="187" t="str">
        <f>ANIO2R</f>
        <v>2016 ¹ (c)</v>
      </c>
      <c r="F5" s="187" t="str">
        <f>ANIO1R</f>
        <v>2017 ¹ (c)</v>
      </c>
      <c r="G5" s="51">
        <f>ANIO_INFORME</f>
        <v>2018</v>
      </c>
    </row>
    <row r="6" spans="1:7" ht="32.1" customHeight="1" x14ac:dyDescent="0.25">
      <c r="A6" s="190"/>
      <c r="B6" s="188"/>
      <c r="C6" s="188"/>
      <c r="D6" s="188"/>
      <c r="E6" s="188"/>
      <c r="F6" s="188"/>
      <c r="G6" s="88" t="s">
        <v>3294</v>
      </c>
    </row>
    <row r="7" spans="1:7" x14ac:dyDescent="0.25">
      <c r="A7" s="52" t="s">
        <v>468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4.25" x14ac:dyDescent="0.4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ht="14.25" x14ac:dyDescent="0.4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ht="14.25" x14ac:dyDescent="0.4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</row>
    <row r="32" spans="1:7" ht="14.25" x14ac:dyDescent="0.45">
      <c r="A32" s="54"/>
      <c r="B32" s="54"/>
      <c r="C32" s="54"/>
      <c r="D32" s="54"/>
      <c r="E32" s="54"/>
      <c r="F32" s="54"/>
      <c r="G32" s="54"/>
    </row>
    <row r="33" spans="1:7" ht="14.25" x14ac:dyDescent="0.4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14.25" x14ac:dyDescent="0.4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14.25" x14ac:dyDescent="0.45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6" t="s">
        <v>3292</v>
      </c>
      <c r="B39" s="186"/>
      <c r="C39" s="186"/>
      <c r="D39" s="186"/>
      <c r="E39" s="186"/>
      <c r="F39" s="186"/>
      <c r="G39" s="186"/>
    </row>
    <row r="40" spans="1:7" ht="15" customHeight="1" x14ac:dyDescent="0.25">
      <c r="A40" s="186" t="s">
        <v>3293</v>
      </c>
      <c r="B40" s="186"/>
      <c r="C40" s="186"/>
      <c r="D40" s="186"/>
      <c r="E40" s="186"/>
      <c r="F40" s="186"/>
      <c r="G40" s="186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0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ht="14.25" x14ac:dyDescent="0.4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ht="14.25" x14ac:dyDescent="0.4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B1" zoomScale="90" zoomScaleNormal="90" workbookViewId="0">
      <selection activeCell="G22" sqref="G22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2" t="s">
        <v>490</v>
      </c>
      <c r="B1" s="172"/>
      <c r="C1" s="172"/>
      <c r="D1" s="172"/>
      <c r="E1" s="172"/>
      <c r="F1" s="172"/>
      <c r="G1" s="172"/>
    </row>
    <row r="2" spans="1:7" ht="14.25" x14ac:dyDescent="0.45">
      <c r="A2" s="154" t="str">
        <f>ENTIDAD</f>
        <v>Gobierno del Estado de Guanajuato</v>
      </c>
      <c r="B2" s="155"/>
      <c r="C2" s="155"/>
      <c r="D2" s="155"/>
      <c r="E2" s="155"/>
      <c r="F2" s="155"/>
      <c r="G2" s="156"/>
    </row>
    <row r="3" spans="1:7" ht="14.25" x14ac:dyDescent="0.45">
      <c r="A3" s="157" t="s">
        <v>491</v>
      </c>
      <c r="B3" s="158"/>
      <c r="C3" s="158"/>
      <c r="D3" s="158"/>
      <c r="E3" s="158"/>
      <c r="F3" s="158"/>
      <c r="G3" s="159"/>
    </row>
    <row r="4" spans="1:7" ht="14.25" x14ac:dyDescent="0.45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91" t="s">
        <v>3142</v>
      </c>
      <c r="B5" s="187" t="str">
        <f>ANIO5R</f>
        <v>2013 ¹ (c)</v>
      </c>
      <c r="C5" s="187" t="str">
        <f>ANIO4R</f>
        <v>2014 ¹ (c)</v>
      </c>
      <c r="D5" s="187" t="str">
        <f>ANIO3R</f>
        <v>2015 ¹ (c)</v>
      </c>
      <c r="E5" s="187" t="str">
        <f>ANIO2R</f>
        <v>2016 ¹ (c)</v>
      </c>
      <c r="F5" s="187" t="str">
        <f>ANIO1R</f>
        <v>2017 ¹ (c)</v>
      </c>
      <c r="G5" s="51">
        <f>ANIO_INFORME</f>
        <v>2018</v>
      </c>
    </row>
    <row r="6" spans="1:7" ht="32.1" customHeight="1" x14ac:dyDescent="0.25">
      <c r="A6" s="192"/>
      <c r="B6" s="188"/>
      <c r="C6" s="188"/>
      <c r="D6" s="188"/>
      <c r="E6" s="188"/>
      <c r="F6" s="188"/>
      <c r="G6" s="88" t="s">
        <v>3295</v>
      </c>
    </row>
    <row r="7" spans="1:7" ht="14.25" x14ac:dyDescent="0.45">
      <c r="A7" s="52" t="s">
        <v>492</v>
      </c>
      <c r="B7" s="59">
        <f>SUM(B8:B16)</f>
        <v>0</v>
      </c>
      <c r="C7" s="59">
        <f t="shared" ref="C7:G7" si="0">SUM(C8:C16)</f>
        <v>0</v>
      </c>
      <c r="D7" s="59">
        <f t="shared" si="0"/>
        <v>1028908852.1471654</v>
      </c>
      <c r="E7" s="59">
        <f t="shared" si="0"/>
        <v>662033702.4987998</v>
      </c>
      <c r="F7" s="59">
        <f t="shared" si="0"/>
        <v>1308021982.1300001</v>
      </c>
      <c r="G7" s="59">
        <f t="shared" si="0"/>
        <v>1507119606.3499997</v>
      </c>
    </row>
    <row r="8" spans="1:7" x14ac:dyDescent="0.25">
      <c r="A8" s="53" t="s">
        <v>454</v>
      </c>
      <c r="B8" s="60">
        <v>0</v>
      </c>
      <c r="C8" s="60">
        <v>0</v>
      </c>
      <c r="D8" s="60">
        <v>698717640.04030406</v>
      </c>
      <c r="E8" s="60">
        <v>131374008.33879973</v>
      </c>
      <c r="F8" s="60">
        <v>727345184.53000009</v>
      </c>
      <c r="G8" s="60">
        <v>822822833.81999946</v>
      </c>
    </row>
    <row r="9" spans="1:7" x14ac:dyDescent="0.25">
      <c r="A9" s="53" t="s">
        <v>455</v>
      </c>
      <c r="B9" s="60">
        <v>0</v>
      </c>
      <c r="C9" s="60">
        <v>0</v>
      </c>
      <c r="D9" s="60">
        <v>37656024.182449989</v>
      </c>
      <c r="E9" s="60">
        <v>23542956.199999999</v>
      </c>
      <c r="F9" s="60">
        <v>53744761.110000007</v>
      </c>
      <c r="G9" s="60">
        <v>70775291.430000097</v>
      </c>
    </row>
    <row r="10" spans="1:7" x14ac:dyDescent="0.25">
      <c r="A10" s="53" t="s">
        <v>456</v>
      </c>
      <c r="B10" s="60">
        <v>0</v>
      </c>
      <c r="C10" s="60">
        <v>0</v>
      </c>
      <c r="D10" s="60">
        <v>121371314.8465915</v>
      </c>
      <c r="E10" s="60">
        <v>94942261.379999995</v>
      </c>
      <c r="F10" s="60">
        <v>215536069.94000003</v>
      </c>
      <c r="G10" s="60">
        <v>281159304.73000008</v>
      </c>
    </row>
    <row r="11" spans="1:7" x14ac:dyDescent="0.25">
      <c r="A11" s="53" t="s">
        <v>457</v>
      </c>
      <c r="B11" s="60">
        <v>0</v>
      </c>
      <c r="C11" s="60">
        <v>0</v>
      </c>
      <c r="D11" s="60">
        <v>161340381.27706003</v>
      </c>
      <c r="E11" s="60">
        <v>59393110.289999999</v>
      </c>
      <c r="F11" s="60">
        <v>149220342.77999997</v>
      </c>
      <c r="G11" s="60">
        <v>128846208.31000006</v>
      </c>
    </row>
    <row r="12" spans="1:7" x14ac:dyDescent="0.25">
      <c r="A12" s="53" t="s">
        <v>458</v>
      </c>
      <c r="B12" s="60">
        <v>0</v>
      </c>
      <c r="C12" s="60">
        <v>0</v>
      </c>
      <c r="D12" s="60">
        <v>8291117.3907600008</v>
      </c>
      <c r="E12" s="60">
        <v>151156505.88999999</v>
      </c>
      <c r="F12" s="60">
        <v>50107821.29999999</v>
      </c>
      <c r="G12" s="60">
        <v>124609037.61000006</v>
      </c>
    </row>
    <row r="13" spans="1:7" x14ac:dyDescent="0.25">
      <c r="A13" s="53" t="s">
        <v>459</v>
      </c>
      <c r="B13" s="60">
        <v>0</v>
      </c>
      <c r="C13" s="60">
        <v>0</v>
      </c>
      <c r="D13" s="60">
        <v>1532374.4100000001</v>
      </c>
      <c r="E13" s="60">
        <v>201393184.02000007</v>
      </c>
      <c r="F13" s="60">
        <v>112067802.47000001</v>
      </c>
      <c r="G13" s="60">
        <v>78906930.450000003</v>
      </c>
    </row>
    <row r="14" spans="1:7" x14ac:dyDescent="0.25">
      <c r="A14" s="53" t="s">
        <v>460</v>
      </c>
      <c r="B14" s="60">
        <v>0</v>
      </c>
      <c r="C14" s="60">
        <v>0</v>
      </c>
      <c r="D14" s="60">
        <v>0</v>
      </c>
      <c r="E14" s="60">
        <v>231676.38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0</v>
      </c>
      <c r="C18" s="61">
        <f t="shared" ref="C18:G18" si="1">SUM(C19:C27)</f>
        <v>0</v>
      </c>
      <c r="D18" s="61">
        <f t="shared" si="1"/>
        <v>2015807402.9881349</v>
      </c>
      <c r="E18" s="61">
        <f t="shared" si="1"/>
        <v>2559333252.9422998</v>
      </c>
      <c r="F18" s="61">
        <f t="shared" si="1"/>
        <v>1914373628.95</v>
      </c>
      <c r="G18" s="61">
        <f t="shared" si="1"/>
        <v>2023475534.7299986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1109839134.5343962</v>
      </c>
      <c r="E19" s="60">
        <v>1855729649.0212002</v>
      </c>
      <c r="F19" s="60">
        <v>1334164885.49</v>
      </c>
      <c r="G19" s="60">
        <v>1413017104.6899986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61412298.987549976</v>
      </c>
      <c r="E20" s="60">
        <v>69853166.788599998</v>
      </c>
      <c r="F20" s="60">
        <v>51905322.640000001</v>
      </c>
      <c r="G20" s="60">
        <v>51170361.079999954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246318170.72400865</v>
      </c>
      <c r="E21" s="60">
        <v>243460785.87729996</v>
      </c>
      <c r="F21" s="60">
        <v>111459996.03999998</v>
      </c>
      <c r="G21" s="60">
        <v>69315904.649999931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185466753.13293999</v>
      </c>
      <c r="E22" s="60">
        <v>302313020.51999998</v>
      </c>
      <c r="F22" s="60">
        <v>260444835.19000003</v>
      </c>
      <c r="G22" s="60">
        <v>343452777.21000004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260016724.88924003</v>
      </c>
      <c r="E23" s="60">
        <v>52041887.445199996</v>
      </c>
      <c r="F23" s="60">
        <v>61573395.25</v>
      </c>
      <c r="G23" s="60">
        <v>35479575.700000003</v>
      </c>
    </row>
    <row r="24" spans="1:7" x14ac:dyDescent="0.25">
      <c r="A24" s="53" t="s">
        <v>459</v>
      </c>
      <c r="B24" s="60">
        <v>0</v>
      </c>
      <c r="C24" s="60">
        <v>0</v>
      </c>
      <c r="D24" s="60">
        <v>152754320.72000003</v>
      </c>
      <c r="E24" s="60">
        <v>35934743.289999999</v>
      </c>
      <c r="F24" s="60">
        <v>94825194.339999989</v>
      </c>
      <c r="G24" s="60">
        <v>111039811.39999999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0</v>
      </c>
      <c r="C29" s="60">
        <f t="shared" ref="C29:G29" si="2">C7+C18</f>
        <v>0</v>
      </c>
      <c r="D29" s="60">
        <f t="shared" si="2"/>
        <v>3044716255.1353002</v>
      </c>
      <c r="E29" s="60">
        <f t="shared" si="2"/>
        <v>3221366955.4410996</v>
      </c>
      <c r="F29" s="60">
        <f t="shared" si="2"/>
        <v>3222395611.0799999</v>
      </c>
      <c r="G29" s="60">
        <f t="shared" si="2"/>
        <v>3530595141.079998</v>
      </c>
    </row>
    <row r="30" spans="1:7" ht="14.25" x14ac:dyDescent="0.45">
      <c r="A30" s="58"/>
      <c r="B30" s="58"/>
      <c r="C30" s="58"/>
      <c r="D30" s="58"/>
      <c r="E30" s="58"/>
      <c r="F30" s="58"/>
      <c r="G30" s="58"/>
    </row>
    <row r="31" spans="1:7" ht="14.25" x14ac:dyDescent="0.45">
      <c r="A31" s="90"/>
    </row>
    <row r="32" spans="1:7" ht="14.25" x14ac:dyDescent="0.45">
      <c r="A32" s="186" t="s">
        <v>3292</v>
      </c>
      <c r="B32" s="186"/>
      <c r="C32" s="186"/>
      <c r="D32" s="186"/>
      <c r="E32" s="186"/>
      <c r="F32" s="186"/>
      <c r="G32" s="186"/>
    </row>
    <row r="33" spans="1:7" x14ac:dyDescent="0.25">
      <c r="A33" s="186" t="s">
        <v>3293</v>
      </c>
      <c r="B33" s="186"/>
      <c r="C33" s="186"/>
      <c r="D33" s="186"/>
      <c r="E33" s="186"/>
      <c r="F33" s="186"/>
      <c r="G33" s="186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1028908852.1471654</v>
      </c>
      <c r="S2" s="18">
        <f>'Formato 7 d)'!E7</f>
        <v>662033702.4987998</v>
      </c>
      <c r="T2" s="18">
        <f>'Formato 7 d)'!F7</f>
        <v>1308021982.1300001</v>
      </c>
      <c r="U2" s="18">
        <f>'Formato 7 d)'!G7</f>
        <v>1507119606.3499997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698717640.04030406</v>
      </c>
      <c r="S3" s="18">
        <f>'Formato 7 d)'!E8</f>
        <v>131374008.33879973</v>
      </c>
      <c r="T3" s="18">
        <f>'Formato 7 d)'!F8</f>
        <v>727345184.53000009</v>
      </c>
      <c r="U3" s="18">
        <f>'Formato 7 d)'!G8</f>
        <v>822822833.81999946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37656024.182449989</v>
      </c>
      <c r="S4" s="18">
        <f>'Formato 7 d)'!E9</f>
        <v>23542956.199999999</v>
      </c>
      <c r="T4" s="18">
        <f>'Formato 7 d)'!F9</f>
        <v>53744761.110000007</v>
      </c>
      <c r="U4" s="18">
        <f>'Formato 7 d)'!G9</f>
        <v>70775291.430000097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121371314.8465915</v>
      </c>
      <c r="S5" s="18">
        <f>'Formato 7 d)'!E10</f>
        <v>94942261.379999995</v>
      </c>
      <c r="T5" s="18">
        <f>'Formato 7 d)'!F10</f>
        <v>215536069.94000003</v>
      </c>
      <c r="U5" s="18">
        <f>'Formato 7 d)'!G10</f>
        <v>281159304.73000008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161340381.27706003</v>
      </c>
      <c r="S6" s="18">
        <f>'Formato 7 d)'!E11</f>
        <v>59393110.289999999</v>
      </c>
      <c r="T6" s="18">
        <f>'Formato 7 d)'!F11</f>
        <v>149220342.77999997</v>
      </c>
      <c r="U6" s="18">
        <f>'Formato 7 d)'!G11</f>
        <v>128846208.31000006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8291117.3907600008</v>
      </c>
      <c r="S7" s="18">
        <f>'Formato 7 d)'!E12</f>
        <v>151156505.88999999</v>
      </c>
      <c r="T7" s="18">
        <f>'Formato 7 d)'!F12</f>
        <v>50107821.29999999</v>
      </c>
      <c r="U7" s="18">
        <f>'Formato 7 d)'!G12</f>
        <v>124609037.61000006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1532374.4100000001</v>
      </c>
      <c r="S8" s="18">
        <f>'Formato 7 d)'!E13</f>
        <v>201393184.02000007</v>
      </c>
      <c r="T8" s="18">
        <f>'Formato 7 d)'!F13</f>
        <v>112067802.47000001</v>
      </c>
      <c r="U8" s="18">
        <f>'Formato 7 d)'!G13</f>
        <v>78906930.450000003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231676.38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2015807402.9881349</v>
      </c>
      <c r="S12" s="18">
        <f>'Formato 7 d)'!E18</f>
        <v>2559333252.9422998</v>
      </c>
      <c r="T12" s="18">
        <f>'Formato 7 d)'!F18</f>
        <v>1914373628.95</v>
      </c>
      <c r="U12" s="18">
        <f>'Formato 7 d)'!G18</f>
        <v>2023475534.7299986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1109839134.5343962</v>
      </c>
      <c r="S13" s="18">
        <f>'Formato 7 d)'!E19</f>
        <v>1855729649.0212002</v>
      </c>
      <c r="T13" s="18">
        <f>'Formato 7 d)'!F19</f>
        <v>1334164885.49</v>
      </c>
      <c r="U13" s="18">
        <f>'Formato 7 d)'!G19</f>
        <v>1413017104.6899986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61412298.987549976</v>
      </c>
      <c r="S14" s="18">
        <f>'Formato 7 d)'!E20</f>
        <v>69853166.788599998</v>
      </c>
      <c r="T14" s="18">
        <f>'Formato 7 d)'!F20</f>
        <v>51905322.640000001</v>
      </c>
      <c r="U14" s="18">
        <f>'Formato 7 d)'!G20</f>
        <v>51170361.079999954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246318170.72400865</v>
      </c>
      <c r="S15" s="18">
        <f>'Formato 7 d)'!E21</f>
        <v>243460785.87729996</v>
      </c>
      <c r="T15" s="18">
        <f>'Formato 7 d)'!F21</f>
        <v>111459996.03999998</v>
      </c>
      <c r="U15" s="18">
        <f>'Formato 7 d)'!G21</f>
        <v>69315904.649999931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185466753.13293999</v>
      </c>
      <c r="S16" s="18">
        <f>'Formato 7 d)'!E22</f>
        <v>302313020.51999998</v>
      </c>
      <c r="T16" s="18">
        <f>'Formato 7 d)'!F22</f>
        <v>260444835.19000003</v>
      </c>
      <c r="U16" s="18">
        <f>'Formato 7 d)'!G22</f>
        <v>343452777.21000004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260016724.88924003</v>
      </c>
      <c r="S17" s="18">
        <f>'Formato 7 d)'!E23</f>
        <v>52041887.445199996</v>
      </c>
      <c r="T17" s="18">
        <f>'Formato 7 d)'!F23</f>
        <v>61573395.25</v>
      </c>
      <c r="U17" s="18">
        <f>'Formato 7 d)'!G23</f>
        <v>35479575.700000003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152754320.72000003</v>
      </c>
      <c r="S18" s="18">
        <f>'Formato 7 d)'!E24</f>
        <v>35934743.289999999</v>
      </c>
      <c r="T18" s="18">
        <f>'Formato 7 d)'!F24</f>
        <v>94825194.339999989</v>
      </c>
      <c r="U18" s="18">
        <f>'Formato 7 d)'!G24</f>
        <v>111039811.39999999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3044716255.1353002</v>
      </c>
      <c r="S22" s="18">
        <f>'Formato 7 d)'!E29</f>
        <v>3221366955.4410996</v>
      </c>
      <c r="T22" s="18">
        <f>'Formato 7 d)'!F29</f>
        <v>3222395611.0799999</v>
      </c>
      <c r="U22" s="18">
        <f>'Formato 7 d)'!G29</f>
        <v>3530595141.079998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sqref="A1:F1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6" t="s">
        <v>495</v>
      </c>
      <c r="B1" s="166"/>
      <c r="C1" s="166"/>
      <c r="D1" s="166"/>
      <c r="E1" s="166"/>
      <c r="F1" s="166"/>
      <c r="G1" s="111"/>
    </row>
    <row r="2" spans="1:7" ht="14.25" x14ac:dyDescent="0.45">
      <c r="A2" s="154" t="str">
        <f>ENTE_PUBLICO</f>
        <v>UNIVERSIDAD DE GUANAJUATO, Gobierno del Estado de Guanajuato</v>
      </c>
      <c r="B2" s="155"/>
      <c r="C2" s="155"/>
      <c r="D2" s="155"/>
      <c r="E2" s="155"/>
      <c r="F2" s="156"/>
    </row>
    <row r="3" spans="1:7" ht="14.25" x14ac:dyDescent="0.45">
      <c r="A3" s="163" t="s">
        <v>496</v>
      </c>
      <c r="B3" s="164"/>
      <c r="C3" s="164"/>
      <c r="D3" s="164"/>
      <c r="E3" s="164"/>
      <c r="F3" s="165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ht="14.25" x14ac:dyDescent="0.45">
      <c r="A31" s="137" t="s">
        <v>506</v>
      </c>
      <c r="B31" s="60"/>
      <c r="C31" s="60"/>
      <c r="D31" s="60"/>
      <c r="E31" s="60"/>
      <c r="F31" s="60"/>
    </row>
    <row r="32" spans="1:6" ht="14.25" x14ac:dyDescent="0.45">
      <c r="A32" s="137" t="s">
        <v>510</v>
      </c>
      <c r="B32" s="60"/>
      <c r="C32" s="60"/>
      <c r="D32" s="60"/>
      <c r="E32" s="60"/>
      <c r="F32" s="60"/>
    </row>
    <row r="33" spans="1:6" ht="14.25" x14ac:dyDescent="0.45">
      <c r="A33" s="137" t="s">
        <v>522</v>
      </c>
      <c r="B33" s="60"/>
      <c r="C33" s="60"/>
      <c r="D33" s="60"/>
      <c r="E33" s="60"/>
      <c r="F33" s="60"/>
    </row>
    <row r="34" spans="1:6" ht="14.25" x14ac:dyDescent="0.4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ht="14.25" x14ac:dyDescent="0.4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ht="14.25" x14ac:dyDescent="0.4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ht="14.25" x14ac:dyDescent="0.4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ht="14.25" x14ac:dyDescent="0.4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ht="14.25" x14ac:dyDescent="0.4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ht="14.25" x14ac:dyDescent="0.4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ht="14.25" x14ac:dyDescent="0.4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ht="14.25" x14ac:dyDescent="0.4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activeCell="E81" sqref="E8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6" t="s">
        <v>545</v>
      </c>
      <c r="B1" s="166"/>
      <c r="C1" s="166"/>
      <c r="D1" s="166"/>
      <c r="E1" s="166"/>
      <c r="F1" s="166"/>
    </row>
    <row r="2" spans="1:6" ht="14.25" x14ac:dyDescent="0.45">
      <c r="A2" s="154" t="str">
        <f>ENTE_PUBLICO_A</f>
        <v>UNIVERSIDAD DE GUANAJUATO, Gobierno del Estado de Guanajuato (a)</v>
      </c>
      <c r="B2" s="155"/>
      <c r="C2" s="155"/>
      <c r="D2" s="155"/>
      <c r="E2" s="155"/>
      <c r="F2" s="156"/>
    </row>
    <row r="3" spans="1:6" x14ac:dyDescent="0.25">
      <c r="A3" s="157" t="s">
        <v>117</v>
      </c>
      <c r="B3" s="158"/>
      <c r="C3" s="158"/>
      <c r="D3" s="158"/>
      <c r="E3" s="158"/>
      <c r="F3" s="159"/>
    </row>
    <row r="4" spans="1:6" ht="14.25" x14ac:dyDescent="0.45">
      <c r="A4" s="160" t="str">
        <f>PERIODO_INFORME</f>
        <v>Al 31 de diciembre de 2017 y al 31 de diciembre de 2018 (b)</v>
      </c>
      <c r="B4" s="161"/>
      <c r="C4" s="161"/>
      <c r="D4" s="161"/>
      <c r="E4" s="161"/>
      <c r="F4" s="162"/>
    </row>
    <row r="5" spans="1:6" ht="14.25" x14ac:dyDescent="0.45">
      <c r="A5" s="163" t="s">
        <v>118</v>
      </c>
      <c r="B5" s="164"/>
      <c r="C5" s="164"/>
      <c r="D5" s="164"/>
      <c r="E5" s="164"/>
      <c r="F5" s="165"/>
    </row>
    <row r="6" spans="1:6" s="3" customFormat="1" ht="28.5" x14ac:dyDescent="0.45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569181609</v>
      </c>
      <c r="C9" s="60">
        <f>SUM(C10:C16)</f>
        <v>883477771</v>
      </c>
      <c r="D9" s="100" t="s">
        <v>54</v>
      </c>
      <c r="E9" s="60">
        <f>SUM(E10:E18)</f>
        <v>146554033</v>
      </c>
      <c r="F9" s="60">
        <f>SUM(F10:F18)</f>
        <v>181135188</v>
      </c>
    </row>
    <row r="10" spans="1:6" x14ac:dyDescent="0.25">
      <c r="A10" s="96" t="s">
        <v>4</v>
      </c>
      <c r="B10" s="60">
        <v>41417</v>
      </c>
      <c r="C10" s="60">
        <v>4414</v>
      </c>
      <c r="D10" s="101" t="s">
        <v>55</v>
      </c>
      <c r="E10" s="60">
        <v>12819289</v>
      </c>
      <c r="F10" s="60">
        <v>36207099</v>
      </c>
    </row>
    <row r="11" spans="1:6" x14ac:dyDescent="0.25">
      <c r="A11" s="96" t="s">
        <v>5</v>
      </c>
      <c r="B11" s="60">
        <v>436861061</v>
      </c>
      <c r="C11" s="60">
        <v>782710322</v>
      </c>
      <c r="D11" s="101" t="s">
        <v>56</v>
      </c>
      <c r="E11" s="60">
        <v>57992769</v>
      </c>
      <c r="F11" s="60">
        <v>11899118</v>
      </c>
    </row>
    <row r="12" spans="1:6" x14ac:dyDescent="0.25">
      <c r="A12" s="96" t="s">
        <v>6</v>
      </c>
      <c r="B12" s="60">
        <v>5253296</v>
      </c>
      <c r="C12" s="60">
        <v>4790684</v>
      </c>
      <c r="D12" s="101" t="s">
        <v>57</v>
      </c>
      <c r="E12" s="60">
        <v>6157271</v>
      </c>
      <c r="F12" s="60">
        <v>0</v>
      </c>
    </row>
    <row r="13" spans="1:6" x14ac:dyDescent="0.25">
      <c r="A13" s="96" t="s">
        <v>7</v>
      </c>
      <c r="B13" s="60">
        <v>88605504</v>
      </c>
      <c r="C13" s="60">
        <v>30281485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38420331</v>
      </c>
      <c r="C14" s="60">
        <v>65690866</v>
      </c>
      <c r="D14" s="101" t="s">
        <v>59</v>
      </c>
      <c r="E14" s="60">
        <v>35212</v>
      </c>
      <c r="F14" s="60">
        <v>82578013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51874087</v>
      </c>
      <c r="F16" s="60">
        <v>50445076</v>
      </c>
    </row>
    <row r="17" spans="1:6" x14ac:dyDescent="0.25">
      <c r="A17" s="95" t="s">
        <v>11</v>
      </c>
      <c r="B17" s="60">
        <f>SUM(B18:B24)</f>
        <v>97480273</v>
      </c>
      <c r="C17" s="60">
        <f>SUM(C18:C24)</f>
        <v>72332176</v>
      </c>
      <c r="D17" s="101" t="s">
        <v>62</v>
      </c>
      <c r="E17" s="60">
        <v>16858525</v>
      </c>
      <c r="F17" s="60">
        <v>0</v>
      </c>
    </row>
    <row r="18" spans="1:6" x14ac:dyDescent="0.25">
      <c r="A18" s="97" t="s">
        <v>12</v>
      </c>
      <c r="B18" s="149">
        <v>1947</v>
      </c>
      <c r="C18" s="60">
        <v>1737</v>
      </c>
      <c r="D18" s="101" t="s">
        <v>63</v>
      </c>
      <c r="E18" s="60">
        <v>816880</v>
      </c>
      <c r="F18" s="60">
        <v>5882</v>
      </c>
    </row>
    <row r="19" spans="1:6" x14ac:dyDescent="0.25">
      <c r="A19" s="97" t="s">
        <v>13</v>
      </c>
      <c r="B19" s="149">
        <v>85280267</v>
      </c>
      <c r="C19" s="60">
        <v>60890749</v>
      </c>
      <c r="D19" s="100" t="s">
        <v>64</v>
      </c>
      <c r="E19" s="60">
        <f>SUM(E20:E22)</f>
        <v>55004</v>
      </c>
      <c r="F19" s="60">
        <f>SUM(F20:F22)</f>
        <v>39004</v>
      </c>
    </row>
    <row r="20" spans="1:6" x14ac:dyDescent="0.25">
      <c r="A20" s="97" t="s">
        <v>14</v>
      </c>
      <c r="B20" s="149">
        <v>9750780</v>
      </c>
      <c r="C20" s="60">
        <v>11439690</v>
      </c>
      <c r="D20" s="101" t="s">
        <v>65</v>
      </c>
      <c r="E20" s="60">
        <v>55000</v>
      </c>
      <c r="F20" s="60">
        <v>39000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4</v>
      </c>
      <c r="F22" s="60">
        <v>4</v>
      </c>
    </row>
    <row r="23" spans="1:6" x14ac:dyDescent="0.25">
      <c r="A23" s="97" t="s">
        <v>17</v>
      </c>
      <c r="B23" s="60">
        <v>2447279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0</v>
      </c>
      <c r="C24" s="60">
        <v>0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56256384</v>
      </c>
      <c r="C25" s="60">
        <f>SUM(C26:C30)</f>
        <v>84010845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1926151</v>
      </c>
      <c r="C26" s="60">
        <v>1665090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4359011</v>
      </c>
      <c r="F27" s="60">
        <f>SUM(F28:F30)</f>
        <v>12802861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4359011</v>
      </c>
      <c r="F28" s="60">
        <v>12802861</v>
      </c>
    </row>
    <row r="29" spans="1:6" x14ac:dyDescent="0.25">
      <c r="A29" s="97" t="s">
        <v>23</v>
      </c>
      <c r="B29" s="60">
        <v>54330233</v>
      </c>
      <c r="C29" s="60">
        <v>82345755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1100566</v>
      </c>
      <c r="F31" s="60">
        <f>SUM(F32:F37)</f>
        <v>2476828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409361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691205</v>
      </c>
      <c r="F36" s="60">
        <v>2476828</v>
      </c>
    </row>
    <row r="37" spans="1:6" x14ac:dyDescent="0.25">
      <c r="A37" s="95" t="s">
        <v>31</v>
      </c>
      <c r="B37" s="60">
        <v>2037125</v>
      </c>
      <c r="C37" s="60">
        <v>2174359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-10750989</v>
      </c>
      <c r="C38" s="60">
        <f>SUM(C39:C40)</f>
        <v>-10750989</v>
      </c>
      <c r="D38" s="100" t="s">
        <v>83</v>
      </c>
      <c r="E38" s="60">
        <f>SUM(E39:E41)</f>
        <v>0</v>
      </c>
      <c r="F38" s="60">
        <f>SUM(F39:F41)</f>
        <v>7826032</v>
      </c>
    </row>
    <row r="39" spans="1:6" x14ac:dyDescent="0.25">
      <c r="A39" s="97" t="s">
        <v>32</v>
      </c>
      <c r="B39" s="60">
        <v>-10750989</v>
      </c>
      <c r="C39" s="60">
        <v>-10750989</v>
      </c>
      <c r="D39" s="101" t="s">
        <v>84</v>
      </c>
      <c r="E39" s="60">
        <v>0</v>
      </c>
      <c r="F39" s="60">
        <v>7826032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863336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863336</v>
      </c>
      <c r="C42" s="60">
        <v>0</v>
      </c>
      <c r="D42" s="100" t="s">
        <v>87</v>
      </c>
      <c r="E42" s="60">
        <f>SUM(E43:E45)</f>
        <v>34301571</v>
      </c>
      <c r="F42" s="60">
        <f>SUM(F43:F45)</f>
        <v>26436272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16229042</v>
      </c>
      <c r="F43" s="60">
        <v>9616033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18072529</v>
      </c>
      <c r="F45" s="60">
        <v>16820239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715067738</v>
      </c>
      <c r="C47" s="61">
        <f>C9+C17+C25+C31+C38+C41+C37</f>
        <v>1031244162</v>
      </c>
      <c r="D47" s="99" t="s">
        <v>91</v>
      </c>
      <c r="E47" s="61">
        <f>E9+E19+E23+E26+E27+E31+E38+E42</f>
        <v>186370185</v>
      </c>
      <c r="F47" s="61">
        <f>F9+F19+F23+F26+F27+F31+F38+F42</f>
        <v>230716185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582636288</v>
      </c>
      <c r="C50" s="60">
        <v>575212740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1043171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5824572000</v>
      </c>
      <c r="C52" s="60">
        <v>5423669852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1908810356</v>
      </c>
      <c r="C53" s="60">
        <v>1717354467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89931008</v>
      </c>
      <c r="C54" s="60">
        <v>71441854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-1979313413</v>
      </c>
      <c r="C55" s="60">
        <v>-1497254417</v>
      </c>
      <c r="D55" s="37" t="s">
        <v>98</v>
      </c>
      <c r="E55" s="60">
        <v>438657359</v>
      </c>
      <c r="F55" s="60">
        <v>338034029</v>
      </c>
    </row>
    <row r="56" spans="1:6" x14ac:dyDescent="0.25">
      <c r="A56" s="95" t="s">
        <v>47</v>
      </c>
      <c r="B56" s="60">
        <v>19000664</v>
      </c>
      <c r="C56" s="60">
        <v>16169197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438657359</v>
      </c>
      <c r="F57" s="61">
        <f>SUM(F50:F55)</f>
        <v>338034029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625027544</v>
      </c>
      <c r="F59" s="61">
        <f>F47+F57</f>
        <v>568750214</v>
      </c>
    </row>
    <row r="60" spans="1:6" x14ac:dyDescent="0.25">
      <c r="A60" s="55" t="s">
        <v>50</v>
      </c>
      <c r="B60" s="61">
        <f>SUM(B50:B58)</f>
        <v>6446680074</v>
      </c>
      <c r="C60" s="61">
        <f>SUM(C50:C58)</f>
        <v>6306593693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7161747812</v>
      </c>
      <c r="C62" s="61">
        <f>SUM(C47+C60)</f>
        <v>7337837855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3557598825</v>
      </c>
      <c r="F63" s="77">
        <f>SUM(F64:F66)</f>
        <v>3543641522</v>
      </c>
    </row>
    <row r="64" spans="1:6" x14ac:dyDescent="0.25">
      <c r="A64" s="54"/>
      <c r="B64" s="54"/>
      <c r="C64" s="54"/>
      <c r="D64" s="103" t="s">
        <v>103</v>
      </c>
      <c r="E64" s="77">
        <v>3543641522</v>
      </c>
      <c r="F64" s="77">
        <v>3543641522</v>
      </c>
    </row>
    <row r="65" spans="1:6" x14ac:dyDescent="0.25">
      <c r="A65" s="54"/>
      <c r="B65" s="54"/>
      <c r="C65" s="54"/>
      <c r="D65" s="41" t="s">
        <v>104</v>
      </c>
      <c r="E65" s="77">
        <v>13957303</v>
      </c>
      <c r="F65" s="77">
        <v>0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2967250859</v>
      </c>
      <c r="F68" s="77">
        <f>SUM(F69:F73)</f>
        <v>3213575535</v>
      </c>
    </row>
    <row r="69" spans="1:6" x14ac:dyDescent="0.25">
      <c r="A69" s="12"/>
      <c r="B69" s="54"/>
      <c r="C69" s="54"/>
      <c r="D69" s="103" t="s">
        <v>107</v>
      </c>
      <c r="E69" s="77">
        <v>-100868328</v>
      </c>
      <c r="F69" s="77">
        <v>-13349709</v>
      </c>
    </row>
    <row r="70" spans="1:6" x14ac:dyDescent="0.25">
      <c r="A70" s="12"/>
      <c r="B70" s="54"/>
      <c r="C70" s="54"/>
      <c r="D70" s="103" t="s">
        <v>108</v>
      </c>
      <c r="E70" s="77">
        <v>25478431</v>
      </c>
      <c r="F70" s="77">
        <v>184284488</v>
      </c>
    </row>
    <row r="71" spans="1:6" x14ac:dyDescent="0.25">
      <c r="A71" s="12"/>
      <c r="B71" s="54"/>
      <c r="C71" s="54"/>
      <c r="D71" s="103" t="s">
        <v>109</v>
      </c>
      <c r="E71" s="77">
        <v>3042640756</v>
      </c>
      <c r="F71" s="77">
        <v>3042640756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11870584</v>
      </c>
      <c r="F75" s="77">
        <f>F76+F77</f>
        <v>11870584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11870584</v>
      </c>
      <c r="F77" s="60">
        <v>11870584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6536720268</v>
      </c>
      <c r="F79" s="61">
        <f>F63+F68+F75</f>
        <v>6769087641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7161747812</v>
      </c>
      <c r="F81" s="61">
        <f>F59+F79</f>
        <v>7337837855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569181609</v>
      </c>
      <c r="Q4" s="18">
        <f>'Formato 1'!C9</f>
        <v>883477771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41417</v>
      </c>
      <c r="Q5" s="18">
        <f>'Formato 1'!C10</f>
        <v>4414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436861061</v>
      </c>
      <c r="Q6" s="18">
        <f>'Formato 1'!C11</f>
        <v>782710322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5253296</v>
      </c>
      <c r="Q7" s="18">
        <f>'Formato 1'!C12</f>
        <v>4790684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88605504</v>
      </c>
      <c r="Q8" s="18">
        <f>'Formato 1'!C13</f>
        <v>30281485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38420331</v>
      </c>
      <c r="Q9" s="18">
        <f>'Formato 1'!C14</f>
        <v>65690866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97480273</v>
      </c>
      <c r="Q12" s="18">
        <f>'Formato 1'!C17</f>
        <v>72332176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1947</v>
      </c>
      <c r="Q13" s="18">
        <f>'Formato 1'!C18</f>
        <v>1737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85280267</v>
      </c>
      <c r="Q14" s="18">
        <f>'Formato 1'!C19</f>
        <v>60890749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9750780</v>
      </c>
      <c r="Q15" s="18">
        <f>'Formato 1'!C20</f>
        <v>11439690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2447279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56256384</v>
      </c>
      <c r="Q20" s="18">
        <f>'Formato 1'!C25</f>
        <v>84010845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1926151</v>
      </c>
      <c r="Q21" s="18">
        <f>'Formato 1'!C26</f>
        <v>1665090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54330233</v>
      </c>
      <c r="Q24" s="18">
        <f>'Formato 1'!C29</f>
        <v>82345755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ht="14.25" x14ac:dyDescent="0.4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ht="14.25" x14ac:dyDescent="0.4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2037125</v>
      </c>
      <c r="Q32" s="18">
        <f>'Formato 1'!C37</f>
        <v>2174359</v>
      </c>
    </row>
    <row r="33" spans="1:17" ht="14.25" x14ac:dyDescent="0.4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2037125</v>
      </c>
      <c r="Q33" s="18">
        <f>'Formato 1'!C37</f>
        <v>2174359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-10750989</v>
      </c>
      <c r="Q34" s="18">
        <f>'Formato 1'!C38</f>
        <v>-10750989</v>
      </c>
    </row>
    <row r="35" spans="1:17" ht="14.25" x14ac:dyDescent="0.4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-10750989</v>
      </c>
      <c r="Q35" s="18">
        <f>'Formato 1'!C39</f>
        <v>-10750989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863336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863336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715067738</v>
      </c>
      <c r="Q42" s="18">
        <f>'Formato 1'!C47</f>
        <v>1031244162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582636288</v>
      </c>
      <c r="Q44">
        <f>'Formato 1'!C50</f>
        <v>575212740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1043171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5824572000</v>
      </c>
      <c r="Q46">
        <f>'Formato 1'!C52</f>
        <v>5423669852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1908810356</v>
      </c>
      <c r="Q47">
        <f>'Formato 1'!C53</f>
        <v>1717354467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89931008</v>
      </c>
      <c r="Q48">
        <f>'Formato 1'!C54</f>
        <v>71441854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-1979313413</v>
      </c>
      <c r="Q49">
        <f>'Formato 1'!C55</f>
        <v>-1497254417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19000664</v>
      </c>
      <c r="Q50">
        <f>'Formato 1'!C56</f>
        <v>16169197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6446680074</v>
      </c>
      <c r="Q53">
        <f>'Formato 1'!C60</f>
        <v>6306593693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7161747812</v>
      </c>
      <c r="Q54">
        <f>'Formato 1'!C62</f>
        <v>7337837855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146554033</v>
      </c>
      <c r="Q57">
        <f>'Formato 1'!F9</f>
        <v>181135188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12819289</v>
      </c>
      <c r="Q58">
        <f>'Formato 1'!F10</f>
        <v>36207099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57992769</v>
      </c>
      <c r="Q59">
        <f>'Formato 1'!F11</f>
        <v>11899118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6157271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35212</v>
      </c>
      <c r="Q62">
        <f>'Formato 1'!F14</f>
        <v>82578013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51874087</v>
      </c>
      <c r="Q64">
        <f>'Formato 1'!F16</f>
        <v>50445076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16858525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816880</v>
      </c>
      <c r="Q66">
        <f>'Formato 1'!F18</f>
        <v>5882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55004</v>
      </c>
      <c r="Q67">
        <f>'Formato 1'!F19</f>
        <v>39004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55000</v>
      </c>
      <c r="Q68">
        <f>'Formato 1'!F20</f>
        <v>39000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4</v>
      </c>
      <c r="Q70">
        <f>'Formato 1'!F22</f>
        <v>4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4359011</v>
      </c>
      <c r="Q76">
        <f>'Formato 1'!F27</f>
        <v>12802861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4359011</v>
      </c>
      <c r="Q77">
        <f>'Formato 1'!F28</f>
        <v>12802861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1100566</v>
      </c>
      <c r="Q80">
        <f>'Formato 1'!F31</f>
        <v>2476828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409361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691205</v>
      </c>
      <c r="Q85">
        <f>'Formato 1'!F36</f>
        <v>2476828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7826032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7826032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34301571</v>
      </c>
      <c r="Q91">
        <f>'Formato 1'!F42</f>
        <v>26436272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16229042</v>
      </c>
      <c r="Q92">
        <f>'Formato 1'!F43</f>
        <v>9616033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18072529</v>
      </c>
      <c r="Q94">
        <f>'Formato 1'!F45</f>
        <v>16820239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186370185</v>
      </c>
      <c r="Q95">
        <f>'Formato 1'!F47</f>
        <v>230716185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438657359</v>
      </c>
      <c r="Q102">
        <f>'Formato 1'!F55</f>
        <v>338034029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438657359</v>
      </c>
      <c r="Q103">
        <f>'Formato 1'!F57</f>
        <v>338034029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625027544</v>
      </c>
      <c r="Q104">
        <f>'Formato 1'!F59</f>
        <v>568750214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3557598825</v>
      </c>
      <c r="Q106">
        <f>'Formato 1'!F63</f>
        <v>3543641522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3543641522</v>
      </c>
      <c r="Q107">
        <f>'Formato 1'!F64</f>
        <v>3543641522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13957303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2967250859</v>
      </c>
      <c r="Q110">
        <f>'Formato 1'!F68</f>
        <v>3213575535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-100868328</v>
      </c>
      <c r="Q111">
        <f>'Formato 1'!F69</f>
        <v>-13349709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25478431</v>
      </c>
      <c r="Q112">
        <f>'Formato 1'!F70</f>
        <v>184284488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3042640756</v>
      </c>
      <c r="Q113">
        <f>'Formato 1'!F71</f>
        <v>3042640756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11870584</v>
      </c>
      <c r="Q116">
        <f>'Formato 1'!F75</f>
        <v>11870584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11870584</v>
      </c>
      <c r="Q118">
        <f>'Formato 1'!F77</f>
        <v>11870584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6536720268</v>
      </c>
      <c r="Q119">
        <f>'Formato 1'!F79</f>
        <v>6769087641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7161747812</v>
      </c>
      <c r="Q120">
        <f>'Formato 1'!F81</f>
        <v>7337837855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I47"/>
  <sheetViews>
    <sheetView showGridLines="0" topLeftCell="A4" zoomScale="90" zoomScaleNormal="90" workbookViewId="0">
      <selection activeCell="C32" sqref="C32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8" t="s">
        <v>544</v>
      </c>
      <c r="B1" s="168"/>
      <c r="C1" s="168"/>
      <c r="D1" s="168"/>
      <c r="E1" s="168"/>
      <c r="F1" s="168"/>
      <c r="G1" s="168"/>
      <c r="H1" s="168"/>
    </row>
    <row r="2" spans="1:9" ht="14.25" x14ac:dyDescent="0.45">
      <c r="A2" s="154" t="str">
        <f>ENTE_PUBLICO_A</f>
        <v>UNIVERSIDAD DE GUANAJUATO, Gobierno del Estado de Guanajuato (a)</v>
      </c>
      <c r="B2" s="155"/>
      <c r="C2" s="155"/>
      <c r="D2" s="155"/>
      <c r="E2" s="155"/>
      <c r="F2" s="155"/>
      <c r="G2" s="155"/>
      <c r="H2" s="156"/>
    </row>
    <row r="3" spans="1:9" x14ac:dyDescent="0.25">
      <c r="A3" s="157" t="s">
        <v>120</v>
      </c>
      <c r="B3" s="158"/>
      <c r="C3" s="158"/>
      <c r="D3" s="158"/>
      <c r="E3" s="158"/>
      <c r="F3" s="158"/>
      <c r="G3" s="158"/>
      <c r="H3" s="159"/>
    </row>
    <row r="4" spans="1:9" ht="14.25" x14ac:dyDescent="0.45">
      <c r="A4" s="160" t="str">
        <f>PERIODO_INFORME</f>
        <v>Al 31 de diciembre de 2017 y al 31 de diciembre de 2018 (b)</v>
      </c>
      <c r="B4" s="161"/>
      <c r="C4" s="161"/>
      <c r="D4" s="161"/>
      <c r="E4" s="161"/>
      <c r="F4" s="161"/>
      <c r="G4" s="161"/>
      <c r="H4" s="162"/>
    </row>
    <row r="5" spans="1:9" ht="14.25" x14ac:dyDescent="0.45">
      <c r="A5" s="163" t="s">
        <v>118</v>
      </c>
      <c r="B5" s="164"/>
      <c r="C5" s="164"/>
      <c r="D5" s="164"/>
      <c r="E5" s="164"/>
      <c r="F5" s="164"/>
      <c r="G5" s="164"/>
      <c r="H5" s="165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f>+B10+C10+D10+E10</f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f t="shared" ref="F11:F16" si="2">+B11+C11+D11+E11</f>
        <v>0</v>
      </c>
      <c r="G11" s="60">
        <v>0</v>
      </c>
      <c r="H11" s="60">
        <v>0</v>
      </c>
    </row>
    <row r="12" spans="1:9" ht="14.25" x14ac:dyDescent="0.4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f t="shared" si="2"/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3">SUM(C14:C16)</f>
        <v>0</v>
      </c>
      <c r="D13" s="60">
        <f t="shared" si="3"/>
        <v>0</v>
      </c>
      <c r="E13" s="60">
        <f t="shared" si="3"/>
        <v>0</v>
      </c>
      <c r="F13" s="60">
        <f t="shared" si="3"/>
        <v>0</v>
      </c>
      <c r="G13" s="60">
        <f t="shared" si="3"/>
        <v>0</v>
      </c>
      <c r="H13" s="60">
        <f t="shared" si="3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f t="shared" si="2"/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f t="shared" si="2"/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f t="shared" si="2"/>
        <v>0</v>
      </c>
      <c r="G16" s="60">
        <v>0</v>
      </c>
      <c r="H16" s="60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568750214</v>
      </c>
      <c r="C18" s="132"/>
      <c r="D18" s="132"/>
      <c r="E18" s="132"/>
      <c r="F18" s="61">
        <v>625027544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568750214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625027544</v>
      </c>
      <c r="G20" s="61">
        <f t="shared" si="4"/>
        <v>0</v>
      </c>
      <c r="H20" s="61">
        <f t="shared" si="4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ht="14.25" x14ac:dyDescent="0.4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ht="14.25" x14ac:dyDescent="0.4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ht="14.25" x14ac:dyDescent="0.4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45">
      <c r="A32" s="90"/>
    </row>
    <row r="33" spans="1:8" ht="12" customHeight="1" x14ac:dyDescent="0.25">
      <c r="A33" s="167" t="s">
        <v>3300</v>
      </c>
      <c r="B33" s="167"/>
      <c r="C33" s="167"/>
      <c r="D33" s="167"/>
      <c r="E33" s="167"/>
      <c r="F33" s="167"/>
      <c r="G33" s="167"/>
      <c r="H33" s="167"/>
    </row>
    <row r="34" spans="1:8" ht="12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2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2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2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568750214</v>
      </c>
      <c r="Q12" s="18"/>
      <c r="R12" s="18"/>
      <c r="S12" s="18"/>
      <c r="T12" s="18">
        <f>'Formato 2'!F18</f>
        <v>625027544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568750214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625027544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6" t="s">
        <v>543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11"/>
    </row>
    <row r="2" spans="1:12" ht="14.25" x14ac:dyDescent="0.45">
      <c r="A2" s="154" t="str">
        <f>ENTE_PUBLICO_A</f>
        <v>UNIVERSIDAD DE GUANAJUATO, Gobierno del Estado de Guanajuato (a)</v>
      </c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12" x14ac:dyDescent="0.25">
      <c r="A3" s="157" t="s">
        <v>146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2" ht="14.25" x14ac:dyDescent="0.45">
      <c r="A4" s="160" t="str">
        <f>TRIMESTRE</f>
        <v>Del 1 de enero al 31 de diciembre de 2018 (b)</v>
      </c>
      <c r="B4" s="161"/>
      <c r="C4" s="161"/>
      <c r="D4" s="161"/>
      <c r="E4" s="161"/>
      <c r="F4" s="161"/>
      <c r="G4" s="161"/>
      <c r="H4" s="161"/>
      <c r="I4" s="161"/>
      <c r="J4" s="161"/>
      <c r="K4" s="162"/>
    </row>
    <row r="5" spans="1:12" ht="14.25" x14ac:dyDescent="0.45">
      <c r="A5" s="157" t="s">
        <v>118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2018 (k)</v>
      </c>
      <c r="J6" s="131" t="str">
        <f>MONTO2</f>
        <v>Monto pagado de la inversión actualizado al 31 de diciembre de 2018 (l)</v>
      </c>
      <c r="K6" s="131" t="str">
        <f>SALDO_PENDIENTE</f>
        <v>Saldo pendiente por pagar de la inversión al 31 de diciembre de 2018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200</vt:i4>
      </vt:variant>
    </vt:vector>
  </HeadingPairs>
  <TitlesOfParts>
    <vt:vector size="231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'Formato 2'!Área_de_impresión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C.P. David Hernández</cp:lastModifiedBy>
  <cp:lastPrinted>2019-01-30T20:40:45Z</cp:lastPrinted>
  <dcterms:created xsi:type="dcterms:W3CDTF">2017-01-19T17:59:06Z</dcterms:created>
  <dcterms:modified xsi:type="dcterms:W3CDTF">2019-01-30T20:44:58Z</dcterms:modified>
</cp:coreProperties>
</file>